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03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Лист2!$A$8:$I$279</definedName>
    <definedName name="_xlnm.Print_Area" localSheetId="1">Лист2!$A$1:$L$282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9" i="2"/>
  <c r="N275" l="1"/>
  <c r="O274" l="1"/>
  <c r="L171"/>
  <c r="K171"/>
  <c r="J177"/>
  <c r="J176"/>
  <c r="J174"/>
  <c r="K195"/>
  <c r="K194"/>
  <c r="K192"/>
  <c r="J194"/>
  <c r="J192"/>
  <c r="F272"/>
  <c r="F271"/>
  <c r="F270"/>
  <c r="F269"/>
  <c r="F268"/>
  <c r="L267"/>
  <c r="K267"/>
  <c r="J267"/>
  <c r="I267"/>
  <c r="H267"/>
  <c r="G267"/>
  <c r="F265"/>
  <c r="F264"/>
  <c r="F263"/>
  <c r="F262"/>
  <c r="F261"/>
  <c r="L260"/>
  <c r="K260"/>
  <c r="K191" s="1"/>
  <c r="J260"/>
  <c r="I260"/>
  <c r="H260"/>
  <c r="G260"/>
  <c r="I171"/>
  <c r="F267" l="1"/>
  <c r="F260"/>
  <c r="L123"/>
  <c r="L122"/>
  <c r="L120"/>
  <c r="K123"/>
  <c r="K122"/>
  <c r="K120"/>
  <c r="J123"/>
  <c r="J122"/>
  <c r="J120"/>
  <c r="I159"/>
  <c r="I147"/>
  <c r="I135"/>
  <c r="I129"/>
  <c r="I93"/>
  <c r="I87"/>
  <c r="I75"/>
  <c r="I51"/>
  <c r="F51" s="1"/>
  <c r="J213"/>
  <c r="J195" s="1"/>
  <c r="G122"/>
  <c r="G120"/>
  <c r="G14"/>
  <c r="I120"/>
  <c r="H122"/>
  <c r="H120"/>
  <c r="G124"/>
  <c r="L47"/>
  <c r="J17"/>
  <c r="I80"/>
  <c r="I78"/>
  <c r="I194"/>
  <c r="I192"/>
  <c r="I193"/>
  <c r="H195"/>
  <c r="I239"/>
  <c r="J239"/>
  <c r="H213"/>
  <c r="G183"/>
  <c r="H171"/>
  <c r="G171"/>
  <c r="G159"/>
  <c r="H135"/>
  <c r="H129"/>
  <c r="H111"/>
  <c r="G111"/>
  <c r="I105"/>
  <c r="H105"/>
  <c r="G105"/>
  <c r="I99"/>
  <c r="H99"/>
  <c r="H93"/>
  <c r="G93"/>
  <c r="G81" s="1"/>
  <c r="H87"/>
  <c r="F76"/>
  <c r="F74"/>
  <c r="F73"/>
  <c r="F72"/>
  <c r="F67"/>
  <c r="F64"/>
  <c r="F63"/>
  <c r="F62"/>
  <c r="F61"/>
  <c r="F60"/>
  <c r="F58"/>
  <c r="F57"/>
  <c r="F55"/>
  <c r="F54"/>
  <c r="F52"/>
  <c r="F50"/>
  <c r="F49"/>
  <c r="F48"/>
  <c r="F46"/>
  <c r="F44"/>
  <c r="F43"/>
  <c r="F42"/>
  <c r="F40"/>
  <c r="F38"/>
  <c r="F37"/>
  <c r="F36"/>
  <c r="F34"/>
  <c r="F32"/>
  <c r="F31"/>
  <c r="F30"/>
  <c r="F28"/>
  <c r="F27"/>
  <c r="F26"/>
  <c r="F25"/>
  <c r="F24"/>
  <c r="F22"/>
  <c r="F20"/>
  <c r="F19"/>
  <c r="F18"/>
  <c r="H75"/>
  <c r="H12"/>
  <c r="G13"/>
  <c r="F13" s="1"/>
  <c r="G12"/>
  <c r="I21"/>
  <c r="G17"/>
  <c r="G23"/>
  <c r="G33"/>
  <c r="H39"/>
  <c r="H15" s="1"/>
  <c r="G39"/>
  <c r="F39" s="1"/>
  <c r="G41"/>
  <c r="G47"/>
  <c r="H56"/>
  <c r="F56" s="1"/>
  <c r="G53"/>
  <c r="G15" l="1"/>
  <c r="H123"/>
  <c r="G35"/>
  <c r="G123"/>
  <c r="G29"/>
  <c r="I81"/>
  <c r="H53"/>
  <c r="I123"/>
  <c r="F75"/>
  <c r="I15"/>
  <c r="F21"/>
  <c r="H14"/>
  <c r="F33"/>
  <c r="J193"/>
  <c r="F258"/>
  <c r="F257"/>
  <c r="F256"/>
  <c r="F255"/>
  <c r="F254"/>
  <c r="L253"/>
  <c r="K253"/>
  <c r="J253"/>
  <c r="I253"/>
  <c r="H253"/>
  <c r="G253"/>
  <c r="F251"/>
  <c r="F250"/>
  <c r="F249"/>
  <c r="F248"/>
  <c r="F247"/>
  <c r="L246"/>
  <c r="K246"/>
  <c r="J246"/>
  <c r="I246"/>
  <c r="H246"/>
  <c r="G246"/>
  <c r="J80"/>
  <c r="J78"/>
  <c r="I12"/>
  <c r="F253" l="1"/>
  <c r="F246"/>
  <c r="F118"/>
  <c r="I113"/>
  <c r="F117"/>
  <c r="F116"/>
  <c r="F115"/>
  <c r="F114"/>
  <c r="L113"/>
  <c r="K113"/>
  <c r="J113"/>
  <c r="H113"/>
  <c r="G113"/>
  <c r="I14"/>
  <c r="F113" l="1"/>
  <c r="J81"/>
  <c r="J83" l="1"/>
  <c r="I219"/>
  <c r="I195" s="1"/>
  <c r="I215" l="1"/>
  <c r="L276" l="1"/>
  <c r="K276"/>
  <c r="I276"/>
  <c r="H276"/>
  <c r="G276"/>
  <c r="F193"/>
  <c r="F229"/>
  <c r="F241"/>
  <c r="F235"/>
  <c r="F223"/>
  <c r="F217"/>
  <c r="F211"/>
  <c r="F205"/>
  <c r="F199"/>
  <c r="F187"/>
  <c r="F181"/>
  <c r="F175"/>
  <c r="F169"/>
  <c r="F163"/>
  <c r="F157"/>
  <c r="J276" l="1"/>
  <c r="F145"/>
  <c r="F139"/>
  <c r="F133"/>
  <c r="F127"/>
  <c r="I122"/>
  <c r="F121"/>
  <c r="F109"/>
  <c r="F103" l="1"/>
  <c r="F97"/>
  <c r="F91"/>
  <c r="F79"/>
  <c r="F85"/>
  <c r="J14"/>
  <c r="K14"/>
  <c r="L14"/>
  <c r="F14" l="1"/>
  <c r="F276"/>
  <c r="F244"/>
  <c r="F243"/>
  <c r="F242"/>
  <c r="F240"/>
  <c r="L239"/>
  <c r="K239"/>
  <c r="H239"/>
  <c r="G239"/>
  <c r="F239" l="1"/>
  <c r="J15"/>
  <c r="J12"/>
  <c r="F45" l="1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L143"/>
  <c r="K137"/>
  <c r="L137"/>
  <c r="L131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119" l="1"/>
  <c r="L277"/>
  <c r="L77"/>
  <c r="L12"/>
  <c r="L275" s="1"/>
  <c r="L15"/>
  <c r="L278" s="1"/>
  <c r="L16"/>
  <c r="L279" s="1"/>
  <c r="L17"/>
  <c r="K12"/>
  <c r="K15"/>
  <c r="K16"/>
  <c r="K17"/>
  <c r="L53"/>
  <c r="L41"/>
  <c r="L35"/>
  <c r="L29"/>
  <c r="L23"/>
  <c r="F12" l="1"/>
  <c r="F15"/>
  <c r="L11"/>
  <c r="L274" s="1"/>
  <c r="F213"/>
  <c r="I233"/>
  <c r="J233"/>
  <c r="H233"/>
  <c r="G233"/>
  <c r="I83"/>
  <c r="F233" l="1"/>
  <c r="I209"/>
  <c r="F93"/>
  <c r="F111"/>
  <c r="F171"/>
  <c r="F159"/>
  <c r="F105"/>
  <c r="J59" l="1"/>
  <c r="I59"/>
  <c r="H59"/>
  <c r="G59"/>
  <c r="G11" s="1"/>
  <c r="J185"/>
  <c r="I185"/>
  <c r="H185"/>
  <c r="G185"/>
  <c r="F59" l="1"/>
  <c r="F185"/>
  <c r="K209"/>
  <c r="K196"/>
  <c r="K167"/>
  <c r="K161"/>
  <c r="K155"/>
  <c r="K143"/>
  <c r="K131"/>
  <c r="K125"/>
  <c r="K124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11" l="1"/>
  <c r="K277"/>
  <c r="K77"/>
  <c r="K279"/>
  <c r="K278"/>
  <c r="K275"/>
  <c r="F183"/>
  <c r="H194"/>
  <c r="K274" l="1"/>
  <c r="G179"/>
  <c r="I179"/>
  <c r="J179"/>
  <c r="H179"/>
  <c r="G107"/>
  <c r="I107"/>
  <c r="J107"/>
  <c r="H107"/>
  <c r="F107" l="1"/>
  <c r="F179"/>
  <c r="F219"/>
  <c r="H16" l="1"/>
  <c r="I16"/>
  <c r="J16"/>
  <c r="G192"/>
  <c r="H192"/>
  <c r="G194"/>
  <c r="G195"/>
  <c r="G196"/>
  <c r="H196"/>
  <c r="I196"/>
  <c r="J196"/>
  <c r="H101"/>
  <c r="I101"/>
  <c r="J101"/>
  <c r="H95"/>
  <c r="I95"/>
  <c r="J95"/>
  <c r="J89"/>
  <c r="I89"/>
  <c r="H89"/>
  <c r="H83"/>
  <c r="H82"/>
  <c r="I82"/>
  <c r="J82"/>
  <c r="H80"/>
  <c r="I277"/>
  <c r="H78"/>
  <c r="H71"/>
  <c r="H65" s="1"/>
  <c r="I71"/>
  <c r="I65" s="1"/>
  <c r="H70"/>
  <c r="I70"/>
  <c r="J70"/>
  <c r="H69"/>
  <c r="I69"/>
  <c r="I278" s="1"/>
  <c r="J69"/>
  <c r="H68"/>
  <c r="I68"/>
  <c r="J68"/>
  <c r="H66"/>
  <c r="I66"/>
  <c r="I275" s="1"/>
  <c r="J66"/>
  <c r="F16" l="1"/>
  <c r="H277"/>
  <c r="I77"/>
  <c r="J278"/>
  <c r="J77"/>
  <c r="J277"/>
  <c r="F195"/>
  <c r="F196"/>
  <c r="F192"/>
  <c r="F194"/>
  <c r="H81"/>
  <c r="H278" s="1"/>
  <c r="H275"/>
  <c r="H77"/>
  <c r="J227" l="1"/>
  <c r="I227"/>
  <c r="H227"/>
  <c r="G227"/>
  <c r="F227" l="1"/>
  <c r="J173"/>
  <c r="I173"/>
  <c r="H173"/>
  <c r="G173"/>
  <c r="F173" l="1"/>
  <c r="J209" l="1"/>
  <c r="J191" s="1"/>
  <c r="J203"/>
  <c r="J167"/>
  <c r="J161"/>
  <c r="J155"/>
  <c r="J143"/>
  <c r="J137"/>
  <c r="J131"/>
  <c r="J125"/>
  <c r="J124"/>
  <c r="F122"/>
  <c r="F120"/>
  <c r="J53"/>
  <c r="J47"/>
  <c r="J41"/>
  <c r="J35"/>
  <c r="J29"/>
  <c r="J23"/>
  <c r="J119" l="1"/>
  <c r="J11"/>
  <c r="J275"/>
  <c r="J279"/>
  <c r="J274" l="1"/>
  <c r="I23" l="1"/>
  <c r="H23"/>
  <c r="F23" l="1"/>
  <c r="F129"/>
  <c r="F123" l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l="1"/>
  <c r="F143"/>
  <c r="F137"/>
  <c r="F131"/>
  <c r="F125"/>
  <c r="F209"/>
  <c r="I17"/>
  <c r="H17"/>
  <c r="F17" l="1"/>
  <c r="I203"/>
  <c r="H203"/>
  <c r="G203"/>
  <c r="G215"/>
  <c r="F203" l="1"/>
  <c r="I155"/>
  <c r="I124"/>
  <c r="H124"/>
  <c r="F124" l="1"/>
  <c r="G66"/>
  <c r="F66" s="1"/>
  <c r="G68"/>
  <c r="F68" s="1"/>
  <c r="G69"/>
  <c r="G278" s="1"/>
  <c r="G70"/>
  <c r="F70" s="1"/>
  <c r="G71"/>
  <c r="F71" s="1"/>
  <c r="F69" l="1"/>
  <c r="F278" s="1"/>
  <c r="G65"/>
  <c r="F65" l="1"/>
  <c r="G78"/>
  <c r="F78" s="1"/>
  <c r="F275" s="1"/>
  <c r="G80"/>
  <c r="G82"/>
  <c r="G89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F53" s="1"/>
  <c r="I47"/>
  <c r="H47"/>
  <c r="I41"/>
  <c r="H41"/>
  <c r="H35"/>
  <c r="I35"/>
  <c r="I29"/>
  <c r="I191" l="1"/>
  <c r="F35"/>
  <c r="G119"/>
  <c r="F89"/>
  <c r="G77"/>
  <c r="H119"/>
  <c r="I119"/>
  <c r="F41"/>
  <c r="I11"/>
  <c r="H191"/>
  <c r="F47"/>
  <c r="F80"/>
  <c r="F277" s="1"/>
  <c r="G277"/>
  <c r="F197"/>
  <c r="F155"/>
  <c r="F215"/>
  <c r="F82"/>
  <c r="F279" s="1"/>
  <c r="G279"/>
  <c r="F167"/>
  <c r="F161"/>
  <c r="F221"/>
  <c r="G275"/>
  <c r="G191"/>
  <c r="I279"/>
  <c r="H279"/>
  <c r="H29"/>
  <c r="G274" l="1"/>
  <c r="F77"/>
  <c r="I274"/>
  <c r="F29"/>
  <c r="H11"/>
  <c r="F11" s="1"/>
  <c r="F191"/>
  <c r="F119"/>
  <c r="H274" l="1"/>
  <c r="F274"/>
</calcChain>
</file>

<file path=xl/sharedStrings.xml><?xml version="1.0" encoding="utf-8"?>
<sst xmlns="http://schemas.openxmlformats.org/spreadsheetml/2006/main" count="493" uniqueCount="202">
  <si>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</si>
  <si>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</si>
  <si>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</si>
  <si>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</si>
  <si>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</si>
  <si>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</si>
  <si>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</si>
  <si>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</si>
  <si>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</si>
  <si>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</si>
  <si>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</si>
  <si>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</si>
  <si>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</si>
  <si>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</si>
  <si>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</si>
  <si>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</si>
  <si>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</si>
  <si>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</si>
  <si>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</si>
  <si>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</si>
  <si>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</si>
  <si>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</si>
  <si>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</si>
  <si>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</si>
  <si>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</si>
  <si>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</si>
  <si>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</si>
  <si>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</si>
  <si>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</si>
  <si>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</si>
  <si>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</si>
  <si>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</si>
  <si>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</si>
  <si>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</si>
  <si>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</si>
  <si>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</si>
  <si>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</si>
  <si>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</si>
  <si>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</si>
  <si>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</si>
  <si>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</si>
  <si>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</si>
  <si>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</si>
  <si>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</si>
  <si>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</si>
  <si>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</si>
  <si>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</si>
  <si>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</si>
  <si>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</si>
  <si>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</si>
  <si>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</si>
  <si>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</si>
  <si>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</si>
  <si>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</si>
  <si>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</si>
  <si>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</si>
  <si>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</si>
  <si>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</si>
  <si>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</si>
  <si>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</si>
  <si>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</si>
  <si>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</si>
  <si>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</si>
  <si>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</si>
  <si>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</si>
  <si>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</si>
  <si>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</si>
  <si>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</si>
  <si>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</si>
  <si>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</si>
  <si>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</si>
  <si>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</si>
  <si>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</si>
  <si>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</si>
  <si>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</si>
  <si>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</si>
  <si>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</si>
  <si>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</si>
  <si>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</si>
  <si>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</si>
  <si>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</si>
  <si>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</si>
  <si>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</si>
  <si>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</si>
  <si>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</si>
  <si>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</si>
  <si>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</si>
  <si>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</si>
  <si>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</si>
  <si>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</si>
  <si>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</si>
  <si>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</si>
  <si>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</si>
  <si>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</si>
  <si>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</si>
  <si>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</si>
  <si>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</si>
  <si>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</si>
  <si>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</si>
  <si>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</si>
  <si>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</si>
  <si>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</si>
  <si>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>4.8.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</si>
  <si>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</si>
  <si>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</si>
  <si>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</si>
  <si>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</si>
  <si>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</si>
  <si>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</si>
  <si>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</si>
  <si>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</si>
  <si>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</si>
  <si>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</si>
  <si>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</si>
  <si>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</si>
  <si>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</si>
  <si>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</si>
  <si>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</si>
  <si>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</si>
  <si>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</si>
  <si>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</si>
  <si>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</si>
  <si>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</si>
  <si>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</si>
  <si>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</si>
  <si>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</si>
  <si>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</si>
  <si>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</si>
  <si>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</si>
  <si>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</si>
  <si>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</si>
  <si>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</si>
  <si>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</si>
  <si>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</si>
  <si>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</si>
  <si>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</si>
  <si>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</si>
  <si>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</si>
  <si>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</si>
  <si>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</si>
  <si>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</si>
  <si>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</si>
  <si>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</si>
  <si>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</si>
  <si>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</si>
  <si>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</si>
  <si>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</si>
  <si>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</si>
  <si>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</si>
  <si>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</si>
  <si>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</si>
  <si>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</si>
  <si>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</si>
  <si>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</si>
  <si>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</si>
  <si>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</si>
  <si>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</si>
  <si>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</si>
  <si>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</si>
  <si>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</si>
  <si>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</si>
  <si>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</si>
  <si>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</si>
  <si>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</si>
  <si>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</si>
  <si>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</si>
  <si>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</si>
  <si>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</si>
  <si>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</si>
  <si>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</si>
  <si>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</si>
  <si>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</si>
  <si>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</si>
  <si>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</si>
  <si>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</si>
  <si>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</si>
  <si>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</si>
  <si>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</si>
  <si>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</si>
  <si>
    <t>2027 год</t>
  </si>
  <si>
    <t>ДКСМПиМО АГЕ РК, учреждения культуры и дополнительного образования в сфере культуры, подведомственные ДКСМПиМО АГЕ РК;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Крым;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</si>
  <si>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2022-2027 </t>
  </si>
  <si>
    <t>2022 - 2027</t>
  </si>
  <si>
    <t xml:space="preserve">2022 - 2027 </t>
  </si>
  <si>
    <t xml:space="preserve"> 2022-2027</t>
  </si>
  <si>
    <t>2022-2027</t>
  </si>
  <si>
    <t>2022-2026</t>
  </si>
  <si>
    <t>2022-2025</t>
  </si>
  <si>
    <t>2022- 2026</t>
  </si>
  <si>
    <t xml:space="preserve">2022-2026 </t>
  </si>
  <si>
    <t xml:space="preserve"> 2023-2024</t>
  </si>
  <si>
    <t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</si>
  <si>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</si>
  <si>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2024- 2025</t>
  </si>
  <si>
    <t>2024-2025</t>
  </si>
  <si>
    <t>2022- 2027</t>
  </si>
  <si>
    <t xml:space="preserve">160,856 культура </t>
  </si>
  <si>
    <t>5.11.</t>
  </si>
  <si>
    <t>5.12.</t>
  </si>
  <si>
    <t>Капитальный ремонт юношеской библиотеки № 14 им. И. Сельвинского, расположенной по адресу: 297407, РФ, РК, г. Евпатория, пр. Победы, 19</t>
  </si>
  <si>
    <t>2025-2026</t>
  </si>
  <si>
    <t>Капитальный ремонт детской библиотеки № 2 имени Л. Украинки, расположенной по адресу: 297408, РФ, Республика Крым, г. Евпатория, ул.Интернациональная,149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</si>
</sst>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4" fillId="2" borderId="1" xfId="1" applyNumberFormat="1" applyFont="1" applyFill="1" applyBorder="1" applyAlignment="1">
      <alignment horizontal="center" vertical="center" wrapText="1"/>
    </xf>
    <xf numFmtId="167" fontId="4" fillId="7" borderId="1" xfId="1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71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07"/>
  <sheetViews>
    <sheetView tabSelected="1" view="pageBreakPreview" topLeftCell="A155" zoomScaleNormal="100" zoomScaleSheetLayoutView="100" workbookViewId="0">
      <selection activeCell="K120" sqref="K120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4.5703125" style="67" customWidth="1"/>
    <col min="11" max="12" width="13.85546875" style="68" customWidth="1"/>
    <col min="13" max="13" width="9" style="33"/>
    <col min="14" max="14" width="25" style="33" customWidth="1"/>
    <col min="15" max="15" width="14" style="33" bestFit="1" customWidth="1"/>
    <col min="16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01" t="s">
        <v>192</v>
      </c>
      <c r="H1" s="101"/>
      <c r="I1" s="101"/>
      <c r="J1" s="101"/>
      <c r="K1" s="101"/>
      <c r="L1" s="101"/>
    </row>
    <row r="2" spans="1:53" ht="10.5" customHeight="1">
      <c r="A2" s="31"/>
      <c r="B2" s="31"/>
      <c r="C2" s="31"/>
      <c r="D2" s="31"/>
      <c r="E2" s="31"/>
      <c r="F2" s="32"/>
      <c r="G2" s="101"/>
      <c r="H2" s="101"/>
      <c r="I2" s="101"/>
      <c r="J2" s="101"/>
      <c r="K2" s="101"/>
      <c r="L2" s="101"/>
    </row>
    <row r="3" spans="1:53" ht="21.75" customHeight="1">
      <c r="A3" s="99" t="s">
        <v>77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53" ht="12" customHeigh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53" ht="1.5" customHeight="1">
      <c r="A5" s="100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</row>
    <row r="6" spans="1:53" ht="21.75" customHeight="1">
      <c r="A6" s="138" t="s">
        <v>48</v>
      </c>
      <c r="B6" s="138" t="s">
        <v>49</v>
      </c>
      <c r="C6" s="138" t="s">
        <v>50</v>
      </c>
      <c r="D6" s="138" t="s">
        <v>51</v>
      </c>
      <c r="E6" s="138" t="s">
        <v>52</v>
      </c>
      <c r="F6" s="138" t="s">
        <v>53</v>
      </c>
      <c r="G6" s="138" t="s">
        <v>76</v>
      </c>
      <c r="H6" s="141"/>
      <c r="I6" s="141"/>
      <c r="J6" s="141"/>
      <c r="K6" s="141"/>
      <c r="L6" s="141"/>
    </row>
    <row r="7" spans="1:53" ht="21.75" customHeight="1">
      <c r="A7" s="139"/>
      <c r="B7" s="139"/>
      <c r="C7" s="139"/>
      <c r="D7" s="139"/>
      <c r="E7" s="139"/>
      <c r="F7" s="139"/>
      <c r="G7" s="140"/>
      <c r="H7" s="142"/>
      <c r="I7" s="142"/>
      <c r="J7" s="142"/>
      <c r="K7" s="142"/>
      <c r="L7" s="142"/>
    </row>
    <row r="8" spans="1:53" s="31" customFormat="1" ht="21.75" customHeight="1">
      <c r="A8" s="139"/>
      <c r="B8" s="139"/>
      <c r="C8" s="139"/>
      <c r="D8" s="139"/>
      <c r="E8" s="139"/>
      <c r="F8" s="139"/>
      <c r="G8" s="138" t="s">
        <v>70</v>
      </c>
      <c r="H8" s="138" t="s">
        <v>73</v>
      </c>
      <c r="I8" s="138" t="s">
        <v>103</v>
      </c>
      <c r="J8" s="143" t="s">
        <v>127</v>
      </c>
      <c r="K8" s="102" t="s">
        <v>138</v>
      </c>
      <c r="L8" s="102" t="s">
        <v>179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0"/>
      <c r="B9" s="140"/>
      <c r="C9" s="140"/>
      <c r="D9" s="140"/>
      <c r="E9" s="140"/>
      <c r="F9" s="140"/>
      <c r="G9" s="139"/>
      <c r="H9" s="139"/>
      <c r="I9" s="139"/>
      <c r="J9" s="143"/>
      <c r="K9" s="103"/>
      <c r="L9" s="10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10" t="s">
        <v>54</v>
      </c>
      <c r="B11" s="125" t="s">
        <v>79</v>
      </c>
      <c r="C11" s="110" t="s">
        <v>181</v>
      </c>
      <c r="D11" s="125" t="s">
        <v>141</v>
      </c>
      <c r="E11" s="25" t="s">
        <v>47</v>
      </c>
      <c r="F11" s="13">
        <f t="shared" ref="F11:F42" si="0">G11+H11+I11+J11+K11+L11</f>
        <v>613682.47415999998</v>
      </c>
      <c r="G11" s="14">
        <f t="shared" ref="G11:L11" si="1">G17+G23+G29+G35+G41+G47+G53+G59</f>
        <v>88103.18</v>
      </c>
      <c r="H11" s="14">
        <f t="shared" si="1"/>
        <v>91707.334159999999</v>
      </c>
      <c r="I11" s="14">
        <f t="shared" si="1"/>
        <v>98967.611000000004</v>
      </c>
      <c r="J11" s="14">
        <f t="shared" si="1"/>
        <v>107502.09900000002</v>
      </c>
      <c r="K11" s="69">
        <f>K17+K23+K29+K35+K41+K47+K53+K59</f>
        <v>110445.114</v>
      </c>
      <c r="L11" s="69">
        <f t="shared" si="1"/>
        <v>116957.136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11"/>
      <c r="B12" s="126"/>
      <c r="C12" s="111"/>
      <c r="D12" s="126"/>
      <c r="E12" s="25" t="s">
        <v>55</v>
      </c>
      <c r="F12" s="13">
        <f t="shared" si="0"/>
        <v>903.1</v>
      </c>
      <c r="G12" s="14">
        <f>G24+G30+G36+G42+G48+G54+G60</f>
        <v>0</v>
      </c>
      <c r="H12" s="14">
        <f>H18+H24+H30+H36+H42+H48+H54+H60</f>
        <v>903.1</v>
      </c>
      <c r="I12" s="14">
        <f>I18+I24+I30+I36+I42+I48+I54+I60</f>
        <v>0</v>
      </c>
      <c r="J12" s="14">
        <f>J18+J24+J30+J36+J42+J48+J54+J60</f>
        <v>0</v>
      </c>
      <c r="K12" s="73">
        <f>K18+K24+K30+K36+K42+K48+K54</f>
        <v>0</v>
      </c>
      <c r="L12" s="73">
        <f t="shared" ref="L12" si="2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11"/>
      <c r="B13" s="126"/>
      <c r="C13" s="111"/>
      <c r="D13" s="126"/>
      <c r="E13" s="25" t="s">
        <v>168</v>
      </c>
      <c r="F13" s="13">
        <f t="shared" si="0"/>
        <v>0</v>
      </c>
      <c r="G13" s="14">
        <f>G19+G25+G31+G37+G43+G49+G61</f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11"/>
      <c r="B14" s="126"/>
      <c r="C14" s="111"/>
      <c r="D14" s="126"/>
      <c r="E14" s="25" t="s">
        <v>56</v>
      </c>
      <c r="F14" s="13">
        <f t="shared" si="0"/>
        <v>706.15657999999996</v>
      </c>
      <c r="G14" s="14">
        <f>G20+G26+G32+G38+G44+G56+G62</f>
        <v>116.25</v>
      </c>
      <c r="H14" s="14">
        <f>H20+H26+H32+H38+H44+H50+H56+H62</f>
        <v>159.50657999999999</v>
      </c>
      <c r="I14" s="14">
        <f>I20+I26+I32+I38+I44+I50+I56+I62</f>
        <v>106.4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11"/>
      <c r="B15" s="126"/>
      <c r="C15" s="111"/>
      <c r="D15" s="126"/>
      <c r="E15" s="25" t="s">
        <v>57</v>
      </c>
      <c r="F15" s="13">
        <f t="shared" si="0"/>
        <v>612073.21758000006</v>
      </c>
      <c r="G15" s="14">
        <f>G21+G27+G33+G39+G45+G51+G57</f>
        <v>87986.93</v>
      </c>
      <c r="H15" s="14">
        <f>H21+H27+H33+H39+H45+H51+H57+H63</f>
        <v>90644.727579999992</v>
      </c>
      <c r="I15" s="14">
        <f>I21+I27+I33+I39+I45+I51+I57+I63</f>
        <v>98861.21100000001</v>
      </c>
      <c r="J15" s="14">
        <f t="shared" ref="J15" si="3">J21+J27+J33+J39+J45+J51+J57+J63</f>
        <v>107394.09900000002</v>
      </c>
      <c r="K15" s="69">
        <f>K21+K27+K33+K39+K45+K51+K57</f>
        <v>110337.114</v>
      </c>
      <c r="L15" s="69">
        <f t="shared" ref="L15" si="4">L21+L27+L33+L39+L45+L51+L57</f>
        <v>116849.136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2"/>
      <c r="B16" s="132"/>
      <c r="C16" s="112"/>
      <c r="D16" s="132"/>
      <c r="E16" s="29" t="s">
        <v>58</v>
      </c>
      <c r="F16" s="13">
        <f t="shared" si="0"/>
        <v>0</v>
      </c>
      <c r="G16" s="14"/>
      <c r="H16" s="14">
        <f>H22+H28+H34+H40+H46+H52+H58</f>
        <v>0</v>
      </c>
      <c r="I16" s="14">
        <f>I22+I28+I34+I40+I46+I52+I58</f>
        <v>0</v>
      </c>
      <c r="J16" s="14">
        <f>J22+J28+J34+J40+J46+J52+J58</f>
        <v>0</v>
      </c>
      <c r="K16" s="73">
        <f>K22+K28+K34+K40+K46+K52+K58</f>
        <v>0</v>
      </c>
      <c r="L16" s="73">
        <f t="shared" ref="L16" si="5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5" t="s">
        <v>59</v>
      </c>
      <c r="B17" s="127" t="s">
        <v>110</v>
      </c>
      <c r="C17" s="110" t="s">
        <v>165</v>
      </c>
      <c r="D17" s="125" t="s">
        <v>142</v>
      </c>
      <c r="E17" s="25" t="s">
        <v>47</v>
      </c>
      <c r="F17" s="13">
        <f t="shared" si="0"/>
        <v>1727.34</v>
      </c>
      <c r="G17" s="14">
        <f>G18+G20+G21+G22</f>
        <v>1281.3399999999999</v>
      </c>
      <c r="H17" s="14">
        <f>H18+H20+H21+H22</f>
        <v>200</v>
      </c>
      <c r="I17" s="14">
        <f>I18+I20+I21+I22</f>
        <v>246.00000000000003</v>
      </c>
      <c r="J17" s="14">
        <f>J18+J20+J21+J22</f>
        <v>0</v>
      </c>
      <c r="K17" s="73">
        <f t="shared" ref="K17" si="6">K18+K20+K21+K22</f>
        <v>0</v>
      </c>
      <c r="L17" s="73">
        <f t="shared" ref="L17" si="7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6"/>
      <c r="B18" s="128"/>
      <c r="C18" s="111"/>
      <c r="D18" s="126"/>
      <c r="E18" s="25" t="s">
        <v>55</v>
      </c>
      <c r="F18" s="13">
        <f t="shared" si="0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6"/>
      <c r="B19" s="128"/>
      <c r="C19" s="111"/>
      <c r="D19" s="126"/>
      <c r="E19" s="25" t="s">
        <v>168</v>
      </c>
      <c r="F19" s="13">
        <f t="shared" si="0"/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6"/>
      <c r="B20" s="128"/>
      <c r="C20" s="111"/>
      <c r="D20" s="126"/>
      <c r="E20" s="25" t="s">
        <v>56</v>
      </c>
      <c r="F20" s="13">
        <f t="shared" si="0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6"/>
      <c r="B21" s="128"/>
      <c r="C21" s="111"/>
      <c r="D21" s="126"/>
      <c r="E21" s="18" t="s">
        <v>57</v>
      </c>
      <c r="F21" s="13">
        <f t="shared" si="0"/>
        <v>1727.34</v>
      </c>
      <c r="G21" s="17">
        <v>1281.3399999999999</v>
      </c>
      <c r="H21" s="16">
        <v>200</v>
      </c>
      <c r="I21" s="27">
        <f>484.75-28.9-209.85</f>
        <v>246.00000000000003</v>
      </c>
      <c r="J21" s="27">
        <v>0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32"/>
      <c r="B22" s="129"/>
      <c r="C22" s="112"/>
      <c r="D22" s="132"/>
      <c r="E22" s="29" t="s">
        <v>58</v>
      </c>
      <c r="F22" s="13">
        <f t="shared" si="0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5" t="s">
        <v>60</v>
      </c>
      <c r="B23" s="127" t="s">
        <v>121</v>
      </c>
      <c r="C23" s="110" t="s">
        <v>162</v>
      </c>
      <c r="D23" s="125" t="s">
        <v>143</v>
      </c>
      <c r="E23" s="25" t="s">
        <v>47</v>
      </c>
      <c r="F23" s="13">
        <f t="shared" si="0"/>
        <v>4571.1120000000001</v>
      </c>
      <c r="G23" s="14">
        <f t="shared" ref="G23:I23" si="8">G24+G26+G27+G28</f>
        <v>4313.3779999999997</v>
      </c>
      <c r="H23" s="14">
        <f t="shared" si="8"/>
        <v>171</v>
      </c>
      <c r="I23" s="14">
        <f t="shared" si="8"/>
        <v>86.733999999999995</v>
      </c>
      <c r="J23" s="14">
        <f t="shared" ref="J23:L23" si="9">J24+J26+J27+J28</f>
        <v>0</v>
      </c>
      <c r="K23" s="73">
        <f t="shared" si="9"/>
        <v>0</v>
      </c>
      <c r="L23" s="73">
        <f t="shared" si="9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6"/>
      <c r="B24" s="128"/>
      <c r="C24" s="111"/>
      <c r="D24" s="126"/>
      <c r="E24" s="25" t="s">
        <v>55</v>
      </c>
      <c r="F24" s="13">
        <f t="shared" si="0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6"/>
      <c r="B25" s="128"/>
      <c r="C25" s="111"/>
      <c r="D25" s="126"/>
      <c r="E25" s="25" t="s">
        <v>168</v>
      </c>
      <c r="F25" s="13">
        <f t="shared" si="0"/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6"/>
      <c r="B26" s="128"/>
      <c r="C26" s="111"/>
      <c r="D26" s="126"/>
      <c r="E26" s="25" t="s">
        <v>56</v>
      </c>
      <c r="F26" s="13">
        <f t="shared" si="0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6"/>
      <c r="B27" s="128"/>
      <c r="C27" s="111"/>
      <c r="D27" s="126"/>
      <c r="E27" s="18" t="s">
        <v>57</v>
      </c>
      <c r="F27" s="13">
        <f t="shared" si="0"/>
        <v>4571.1120000000001</v>
      </c>
      <c r="G27" s="17">
        <v>4313.3779999999997</v>
      </c>
      <c r="H27" s="16">
        <v>171</v>
      </c>
      <c r="I27" s="16">
        <v>86.733999999999995</v>
      </c>
      <c r="J27" s="16"/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32"/>
      <c r="B28" s="129"/>
      <c r="C28" s="112"/>
      <c r="D28" s="132"/>
      <c r="E28" s="29" t="s">
        <v>58</v>
      </c>
      <c r="F28" s="13">
        <f t="shared" si="0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5" t="s">
        <v>61</v>
      </c>
      <c r="B29" s="127" t="s">
        <v>120</v>
      </c>
      <c r="C29" s="110" t="s">
        <v>182</v>
      </c>
      <c r="D29" s="125" t="s">
        <v>144</v>
      </c>
      <c r="E29" s="25" t="s">
        <v>47</v>
      </c>
      <c r="F29" s="13">
        <f t="shared" si="0"/>
        <v>29205.675999999999</v>
      </c>
      <c r="G29" s="14">
        <f t="shared" ref="G29:I29" si="10">G30+G32+G33+G34</f>
        <v>3701.5279999999998</v>
      </c>
      <c r="H29" s="14">
        <f t="shared" si="10"/>
        <v>4437.5780000000004</v>
      </c>
      <c r="I29" s="14">
        <f t="shared" si="10"/>
        <v>4879.5810000000001</v>
      </c>
      <c r="J29" s="14">
        <f t="shared" ref="J29:L29" si="11">J30+J32+J33+J34</f>
        <v>5237.1859999999997</v>
      </c>
      <c r="K29" s="69">
        <f t="shared" si="11"/>
        <v>5310.9170000000004</v>
      </c>
      <c r="L29" s="69">
        <f t="shared" si="11"/>
        <v>5638.8860000000004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6"/>
      <c r="B30" s="128"/>
      <c r="C30" s="111"/>
      <c r="D30" s="126"/>
      <c r="E30" s="25" t="s">
        <v>55</v>
      </c>
      <c r="F30" s="13">
        <f t="shared" si="0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6"/>
      <c r="B31" s="128"/>
      <c r="C31" s="111"/>
      <c r="D31" s="126"/>
      <c r="E31" s="25" t="s">
        <v>168</v>
      </c>
      <c r="F31" s="13">
        <f t="shared" si="0"/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6"/>
      <c r="B32" s="128"/>
      <c r="C32" s="111"/>
      <c r="D32" s="126"/>
      <c r="E32" s="25" t="s">
        <v>56</v>
      </c>
      <c r="F32" s="13">
        <f t="shared" si="0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6"/>
      <c r="B33" s="128"/>
      <c r="C33" s="111"/>
      <c r="D33" s="126"/>
      <c r="E33" s="18" t="s">
        <v>57</v>
      </c>
      <c r="F33" s="13">
        <f t="shared" si="0"/>
        <v>29205.675999999999</v>
      </c>
      <c r="G33" s="17">
        <f>3701.528</f>
        <v>3701.5279999999998</v>
      </c>
      <c r="H33" s="16">
        <v>4437.5780000000004</v>
      </c>
      <c r="I33" s="16">
        <v>4879.5810000000001</v>
      </c>
      <c r="J33" s="16">
        <v>5237.1859999999997</v>
      </c>
      <c r="K33" s="16">
        <v>5310.9170000000004</v>
      </c>
      <c r="L33" s="17">
        <v>5638.8860000000004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32"/>
      <c r="B34" s="129"/>
      <c r="C34" s="112"/>
      <c r="D34" s="132"/>
      <c r="E34" s="29" t="s">
        <v>58</v>
      </c>
      <c r="F34" s="13">
        <f t="shared" si="0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5" t="s">
        <v>62</v>
      </c>
      <c r="B35" s="127" t="s">
        <v>111</v>
      </c>
      <c r="C35" s="110" t="s">
        <v>183</v>
      </c>
      <c r="D35" s="125" t="s">
        <v>145</v>
      </c>
      <c r="E35" s="25" t="s">
        <v>47</v>
      </c>
      <c r="F35" s="13">
        <f t="shared" si="0"/>
        <v>411273.53200000001</v>
      </c>
      <c r="G35" s="14">
        <f t="shared" ref="G35:I35" si="12">G36+G38+G39+G40</f>
        <v>55698.098999999995</v>
      </c>
      <c r="H35" s="14">
        <f t="shared" si="12"/>
        <v>61304.565999999999</v>
      </c>
      <c r="I35" s="14">
        <f t="shared" si="12"/>
        <v>66711.611000000004</v>
      </c>
      <c r="J35" s="14">
        <f t="shared" ref="J35:L35" si="13">J36+J38+J39+J40</f>
        <v>72538.398000000001</v>
      </c>
      <c r="K35" s="69">
        <f t="shared" si="13"/>
        <v>75277.357999999993</v>
      </c>
      <c r="L35" s="69">
        <f t="shared" si="13"/>
        <v>79743.5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6"/>
      <c r="B36" s="128"/>
      <c r="C36" s="111"/>
      <c r="D36" s="126"/>
      <c r="E36" s="25" t="s">
        <v>55</v>
      </c>
      <c r="F36" s="13">
        <f t="shared" si="0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6"/>
      <c r="B37" s="128"/>
      <c r="C37" s="111"/>
      <c r="D37" s="126"/>
      <c r="E37" s="25" t="s">
        <v>168</v>
      </c>
      <c r="F37" s="13">
        <f t="shared" si="0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6"/>
      <c r="B38" s="128"/>
      <c r="C38" s="111"/>
      <c r="D38" s="126"/>
      <c r="E38" s="25" t="s">
        <v>56</v>
      </c>
      <c r="F38" s="13">
        <f t="shared" si="0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6"/>
      <c r="B39" s="128"/>
      <c r="C39" s="111"/>
      <c r="D39" s="126"/>
      <c r="E39" s="25" t="s">
        <v>57</v>
      </c>
      <c r="F39" s="13">
        <f t="shared" si="0"/>
        <v>411273.53200000001</v>
      </c>
      <c r="G39" s="17">
        <f>56846.026-998.815-149.112</f>
        <v>55698.098999999995</v>
      </c>
      <c r="H39" s="17">
        <f>61304.566</f>
        <v>61304.565999999999</v>
      </c>
      <c r="I39" s="17">
        <v>66711.611000000004</v>
      </c>
      <c r="J39" s="17">
        <v>72538.398000000001</v>
      </c>
      <c r="K39" s="17">
        <v>75277.357999999993</v>
      </c>
      <c r="L39" s="17">
        <v>79743.5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32"/>
      <c r="B40" s="129"/>
      <c r="C40" s="112"/>
      <c r="D40" s="132"/>
      <c r="E40" s="25" t="s">
        <v>58</v>
      </c>
      <c r="F40" s="13">
        <f t="shared" si="0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5" t="s">
        <v>74</v>
      </c>
      <c r="B41" s="127" t="s">
        <v>112</v>
      </c>
      <c r="C41" s="110" t="s">
        <v>184</v>
      </c>
      <c r="D41" s="125" t="s">
        <v>146</v>
      </c>
      <c r="E41" s="25" t="s">
        <v>47</v>
      </c>
      <c r="F41" s="13">
        <f t="shared" si="0"/>
        <v>100005.69100000001</v>
      </c>
      <c r="G41" s="14">
        <f t="shared" ref="G41:I41" si="14">G42+G44+G45+G46</f>
        <v>14031.442999999999</v>
      </c>
      <c r="H41" s="14">
        <f t="shared" si="14"/>
        <v>14843.402</v>
      </c>
      <c r="I41" s="14">
        <f t="shared" si="14"/>
        <v>16185.050999999999</v>
      </c>
      <c r="J41" s="14">
        <f t="shared" ref="J41:L41" si="15">J42+J44+J45+J46</f>
        <v>17581.243999999999</v>
      </c>
      <c r="K41" s="69">
        <f t="shared" si="15"/>
        <v>18152.827000000001</v>
      </c>
      <c r="L41" s="69">
        <f t="shared" si="15"/>
        <v>19211.723999999998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6"/>
      <c r="B42" s="128"/>
      <c r="C42" s="111"/>
      <c r="D42" s="126"/>
      <c r="E42" s="25" t="s">
        <v>55</v>
      </c>
      <c r="F42" s="13">
        <f t="shared" si="0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6"/>
      <c r="B43" s="128"/>
      <c r="C43" s="111"/>
      <c r="D43" s="126"/>
      <c r="E43" s="25" t="s">
        <v>168</v>
      </c>
      <c r="F43" s="13">
        <f t="shared" ref="F43:F74" si="16"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6"/>
      <c r="B44" s="128"/>
      <c r="C44" s="111"/>
      <c r="D44" s="126"/>
      <c r="E44" s="25" t="s">
        <v>56</v>
      </c>
      <c r="F44" s="13">
        <f t="shared" si="16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6"/>
      <c r="B45" s="128"/>
      <c r="C45" s="111"/>
      <c r="D45" s="126"/>
      <c r="E45" s="25" t="s">
        <v>57</v>
      </c>
      <c r="F45" s="13">
        <f t="shared" si="16"/>
        <v>100005.69100000001</v>
      </c>
      <c r="G45" s="17">
        <v>14031.442999999999</v>
      </c>
      <c r="H45" s="16">
        <v>14843.402</v>
      </c>
      <c r="I45" s="16">
        <v>16185.050999999999</v>
      </c>
      <c r="J45" s="17">
        <v>17581.243999999999</v>
      </c>
      <c r="K45" s="17">
        <v>18152.827000000001</v>
      </c>
      <c r="L45" s="17">
        <v>19211.723999999998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32"/>
      <c r="B46" s="129"/>
      <c r="C46" s="112"/>
      <c r="D46" s="132"/>
      <c r="E46" s="25" t="s">
        <v>58</v>
      </c>
      <c r="F46" s="13">
        <f t="shared" si="16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5" t="s">
        <v>97</v>
      </c>
      <c r="B47" s="127" t="s">
        <v>113</v>
      </c>
      <c r="C47" s="110" t="s">
        <v>185</v>
      </c>
      <c r="D47" s="125" t="s">
        <v>147</v>
      </c>
      <c r="E47" s="25" t="s">
        <v>47</v>
      </c>
      <c r="F47" s="13">
        <f t="shared" si="16"/>
        <v>65288.915000000001</v>
      </c>
      <c r="G47" s="14">
        <f t="shared" ref="G47:I47" si="17">G48+G50+G51+G52</f>
        <v>8961.1419999999998</v>
      </c>
      <c r="H47" s="14">
        <f t="shared" si="17"/>
        <v>9687.23</v>
      </c>
      <c r="I47" s="14">
        <f t="shared" si="17"/>
        <v>10752.234</v>
      </c>
      <c r="J47" s="14">
        <f t="shared" ref="J47:K47" si="18">J48+J50+J51+J52</f>
        <v>12037.271000000001</v>
      </c>
      <c r="K47" s="69">
        <f t="shared" si="18"/>
        <v>11596.012000000001</v>
      </c>
      <c r="L47" s="69">
        <f>L48+L49+L50+L51</f>
        <v>12255.026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6"/>
      <c r="B48" s="128"/>
      <c r="C48" s="111"/>
      <c r="D48" s="126"/>
      <c r="E48" s="25" t="s">
        <v>55</v>
      </c>
      <c r="F48" s="13">
        <f t="shared" si="16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6"/>
      <c r="B49" s="128"/>
      <c r="C49" s="111"/>
      <c r="D49" s="126"/>
      <c r="E49" s="25" t="s">
        <v>168</v>
      </c>
      <c r="F49" s="13">
        <f t="shared" si="16"/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6"/>
      <c r="B50" s="128"/>
      <c r="C50" s="111"/>
      <c r="D50" s="126"/>
      <c r="E50" s="25" t="s">
        <v>56</v>
      </c>
      <c r="F50" s="13">
        <f t="shared" si="16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6"/>
      <c r="B51" s="128"/>
      <c r="C51" s="111"/>
      <c r="D51" s="126"/>
      <c r="E51" s="25" t="s">
        <v>57</v>
      </c>
      <c r="F51" s="13">
        <f t="shared" si="16"/>
        <v>65288.915000000001</v>
      </c>
      <c r="G51" s="17">
        <v>8961.1419999999998</v>
      </c>
      <c r="H51" s="17">
        <v>9687.23</v>
      </c>
      <c r="I51" s="17">
        <f>10752.234</f>
        <v>10752.234</v>
      </c>
      <c r="J51" s="17">
        <v>12037.271000000001</v>
      </c>
      <c r="K51" s="17">
        <v>11596.012000000001</v>
      </c>
      <c r="L51" s="97">
        <v>12255.026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32"/>
      <c r="B52" s="129"/>
      <c r="C52" s="112"/>
      <c r="D52" s="132"/>
      <c r="E52" s="25" t="s">
        <v>58</v>
      </c>
      <c r="F52" s="13">
        <f t="shared" si="16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5" t="s">
        <v>101</v>
      </c>
      <c r="B53" s="127" t="s">
        <v>89</v>
      </c>
      <c r="C53" s="110" t="s">
        <v>185</v>
      </c>
      <c r="D53" s="125" t="s">
        <v>146</v>
      </c>
      <c r="E53" s="25" t="s">
        <v>47</v>
      </c>
      <c r="F53" s="13">
        <f t="shared" si="16"/>
        <v>658.625</v>
      </c>
      <c r="G53" s="14">
        <f t="shared" ref="G53:I53" si="19">G54+G56+G57+G58</f>
        <v>116.25</v>
      </c>
      <c r="H53" s="14">
        <f t="shared" si="19"/>
        <v>111.97499999999999</v>
      </c>
      <c r="I53" s="14">
        <f t="shared" si="19"/>
        <v>106.4</v>
      </c>
      <c r="J53" s="14">
        <f t="shared" ref="J53:L53" si="20">J54+J56+J57+J58</f>
        <v>108</v>
      </c>
      <c r="K53" s="69">
        <f t="shared" si="20"/>
        <v>108</v>
      </c>
      <c r="L53" s="69">
        <f t="shared" si="2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6"/>
      <c r="B54" s="128"/>
      <c r="C54" s="111"/>
      <c r="D54" s="126"/>
      <c r="E54" s="25" t="s">
        <v>55</v>
      </c>
      <c r="F54" s="13">
        <f t="shared" si="16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6"/>
      <c r="B55" s="128"/>
      <c r="C55" s="111"/>
      <c r="D55" s="126"/>
      <c r="E55" s="25" t="s">
        <v>168</v>
      </c>
      <c r="F55" s="13">
        <f t="shared" si="16"/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6"/>
      <c r="B56" s="128"/>
      <c r="C56" s="111"/>
      <c r="D56" s="126"/>
      <c r="E56" s="25" t="s">
        <v>56</v>
      </c>
      <c r="F56" s="13">
        <f t="shared" si="16"/>
        <v>658.625</v>
      </c>
      <c r="G56" s="17">
        <v>116.25</v>
      </c>
      <c r="H56" s="75">
        <f>111.975</f>
        <v>111.97499999999999</v>
      </c>
      <c r="I56" s="16">
        <v>106.4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6"/>
      <c r="B57" s="128"/>
      <c r="C57" s="111"/>
      <c r="D57" s="126"/>
      <c r="E57" s="25" t="s">
        <v>57</v>
      </c>
      <c r="F57" s="13">
        <f t="shared" si="16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32"/>
      <c r="B58" s="129"/>
      <c r="C58" s="112"/>
      <c r="D58" s="132"/>
      <c r="E58" s="25" t="s">
        <v>58</v>
      </c>
      <c r="F58" s="13">
        <f t="shared" si="16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5" t="s">
        <v>128</v>
      </c>
      <c r="B59" s="127" t="s">
        <v>130</v>
      </c>
      <c r="C59" s="160">
        <v>2023</v>
      </c>
      <c r="D59" s="113" t="s">
        <v>86</v>
      </c>
      <c r="E59" s="25" t="s">
        <v>47</v>
      </c>
      <c r="F59" s="13">
        <f t="shared" si="16"/>
        <v>951.58316000000002</v>
      </c>
      <c r="G59" s="14">
        <f t="shared" ref="G59:L59" si="21">G60+G62+G63+G64</f>
        <v>0</v>
      </c>
      <c r="H59" s="14">
        <f t="shared" si="21"/>
        <v>951.58316000000002</v>
      </c>
      <c r="I59" s="14">
        <f t="shared" si="21"/>
        <v>0</v>
      </c>
      <c r="J59" s="14">
        <f t="shared" si="21"/>
        <v>0</v>
      </c>
      <c r="K59" s="14">
        <f t="shared" si="21"/>
        <v>0</v>
      </c>
      <c r="L59" s="14">
        <f t="shared" si="2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6"/>
      <c r="B60" s="128"/>
      <c r="C60" s="161"/>
      <c r="D60" s="114"/>
      <c r="E60" s="25" t="s">
        <v>55</v>
      </c>
      <c r="F60" s="13">
        <f t="shared" si="16"/>
        <v>903.1</v>
      </c>
      <c r="G60" s="16">
        <v>0</v>
      </c>
      <c r="H60" s="74">
        <v>903.1</v>
      </c>
      <c r="I60" s="74"/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6"/>
      <c r="B61" s="128"/>
      <c r="C61" s="161"/>
      <c r="D61" s="114"/>
      <c r="E61" s="25" t="s">
        <v>168</v>
      </c>
      <c r="F61" s="13">
        <f t="shared" si="16"/>
        <v>0</v>
      </c>
      <c r="G61" s="16">
        <v>0</v>
      </c>
      <c r="H61" s="16">
        <v>0</v>
      </c>
      <c r="I61" s="16"/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6"/>
      <c r="B62" s="128"/>
      <c r="C62" s="161"/>
      <c r="D62" s="114"/>
      <c r="E62" s="25" t="s">
        <v>56</v>
      </c>
      <c r="F62" s="13">
        <f t="shared" si="16"/>
        <v>47.531579999999998</v>
      </c>
      <c r="G62" s="17"/>
      <c r="H62" s="74">
        <v>47.531579999999998</v>
      </c>
      <c r="I62" s="74"/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6"/>
      <c r="B63" s="128"/>
      <c r="C63" s="161"/>
      <c r="D63" s="114"/>
      <c r="E63" s="25" t="s">
        <v>57</v>
      </c>
      <c r="F63" s="13">
        <f t="shared" si="16"/>
        <v>0.95157999999999998</v>
      </c>
      <c r="G63" s="17">
        <v>0</v>
      </c>
      <c r="H63" s="27">
        <v>0.95157999999999998</v>
      </c>
      <c r="I63" s="27"/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32"/>
      <c r="B64" s="129"/>
      <c r="C64" s="162"/>
      <c r="D64" s="115"/>
      <c r="E64" s="25" t="s">
        <v>58</v>
      </c>
      <c r="F64" s="13">
        <f t="shared" si="16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5" t="s">
        <v>63</v>
      </c>
      <c r="B65" s="125" t="s">
        <v>80</v>
      </c>
      <c r="C65" s="110" t="s">
        <v>186</v>
      </c>
      <c r="D65" s="113" t="s">
        <v>148</v>
      </c>
      <c r="E65" s="25" t="s">
        <v>47</v>
      </c>
      <c r="F65" s="13">
        <f t="shared" si="16"/>
        <v>834.55</v>
      </c>
      <c r="G65" s="14">
        <f t="shared" ref="G65:K65" si="22">G71</f>
        <v>200</v>
      </c>
      <c r="H65" s="14">
        <f t="shared" si="22"/>
        <v>170.6</v>
      </c>
      <c r="I65" s="14">
        <f t="shared" si="22"/>
        <v>139.15</v>
      </c>
      <c r="J65" s="14">
        <f>J71</f>
        <v>162.4</v>
      </c>
      <c r="K65" s="73">
        <f t="shared" si="22"/>
        <v>162.4</v>
      </c>
      <c r="L65" s="73">
        <f t="shared" ref="L65" si="23">L71</f>
        <v>0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6"/>
      <c r="B66" s="126"/>
      <c r="C66" s="111"/>
      <c r="D66" s="114"/>
      <c r="E66" s="25" t="s">
        <v>55</v>
      </c>
      <c r="F66" s="13">
        <f t="shared" si="16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24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6"/>
      <c r="B67" s="126"/>
      <c r="C67" s="111"/>
      <c r="D67" s="114"/>
      <c r="E67" s="25" t="s">
        <v>168</v>
      </c>
      <c r="F67" s="13">
        <f t="shared" si="16"/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6"/>
      <c r="B68" s="126"/>
      <c r="C68" s="111"/>
      <c r="D68" s="114"/>
      <c r="E68" s="25" t="s">
        <v>56</v>
      </c>
      <c r="F68" s="13">
        <f t="shared" si="16"/>
        <v>0</v>
      </c>
      <c r="G68" s="14">
        <f t="shared" ref="G68:K70" si="25">G74</f>
        <v>0</v>
      </c>
      <c r="H68" s="14">
        <f t="shared" si="25"/>
        <v>0</v>
      </c>
      <c r="I68" s="14">
        <f t="shared" si="25"/>
        <v>0</v>
      </c>
      <c r="J68" s="14">
        <f t="shared" si="25"/>
        <v>0</v>
      </c>
      <c r="K68" s="73">
        <f t="shared" si="25"/>
        <v>0</v>
      </c>
      <c r="L68" s="73">
        <f t="shared" ref="L68" si="26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6"/>
      <c r="B69" s="126"/>
      <c r="C69" s="111"/>
      <c r="D69" s="114"/>
      <c r="E69" s="25" t="s">
        <v>57</v>
      </c>
      <c r="F69" s="13">
        <f t="shared" si="16"/>
        <v>834.55</v>
      </c>
      <c r="G69" s="14">
        <f t="shared" si="25"/>
        <v>200</v>
      </c>
      <c r="H69" s="14">
        <f t="shared" si="25"/>
        <v>170.6</v>
      </c>
      <c r="I69" s="14">
        <f t="shared" si="25"/>
        <v>139.15</v>
      </c>
      <c r="J69" s="14">
        <f t="shared" si="25"/>
        <v>162.4</v>
      </c>
      <c r="K69" s="73">
        <f t="shared" si="25"/>
        <v>162.4</v>
      </c>
      <c r="L69" s="73">
        <f t="shared" ref="L69" si="27">L75</f>
        <v>0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32"/>
      <c r="B70" s="132"/>
      <c r="C70" s="112"/>
      <c r="D70" s="115"/>
      <c r="E70" s="25" t="s">
        <v>58</v>
      </c>
      <c r="F70" s="13">
        <f t="shared" si="16"/>
        <v>0</v>
      </c>
      <c r="G70" s="14">
        <f t="shared" si="25"/>
        <v>0</v>
      </c>
      <c r="H70" s="14">
        <f t="shared" si="25"/>
        <v>0</v>
      </c>
      <c r="I70" s="14">
        <f t="shared" si="25"/>
        <v>0</v>
      </c>
      <c r="J70" s="14">
        <f t="shared" si="25"/>
        <v>0</v>
      </c>
      <c r="K70" s="73">
        <f t="shared" si="25"/>
        <v>0</v>
      </c>
      <c r="L70" s="73">
        <f t="shared" ref="L70" si="28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5" t="s">
        <v>22</v>
      </c>
      <c r="B71" s="127" t="s">
        <v>106</v>
      </c>
      <c r="C71" s="110" t="s">
        <v>186</v>
      </c>
      <c r="D71" s="113" t="s">
        <v>148</v>
      </c>
      <c r="E71" s="25" t="s">
        <v>47</v>
      </c>
      <c r="F71" s="13">
        <f t="shared" si="16"/>
        <v>834.55</v>
      </c>
      <c r="G71" s="14">
        <f t="shared" ref="G71:L71" si="29">G72+G74+G75+G76</f>
        <v>200</v>
      </c>
      <c r="H71" s="14">
        <f t="shared" si="29"/>
        <v>170.6</v>
      </c>
      <c r="I71" s="14">
        <f t="shared" si="29"/>
        <v>139.15</v>
      </c>
      <c r="J71" s="14">
        <f t="shared" si="29"/>
        <v>162.4</v>
      </c>
      <c r="K71" s="73">
        <f t="shared" si="29"/>
        <v>162.4</v>
      </c>
      <c r="L71" s="73">
        <f t="shared" si="29"/>
        <v>0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6"/>
      <c r="B72" s="128"/>
      <c r="C72" s="111"/>
      <c r="D72" s="114"/>
      <c r="E72" s="25" t="s">
        <v>55</v>
      </c>
      <c r="F72" s="13">
        <f t="shared" si="16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6"/>
      <c r="B73" s="128"/>
      <c r="C73" s="111"/>
      <c r="D73" s="114"/>
      <c r="E73" s="25" t="s">
        <v>168</v>
      </c>
      <c r="F73" s="13">
        <f t="shared" si="16"/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6"/>
      <c r="B74" s="128"/>
      <c r="C74" s="111"/>
      <c r="D74" s="114"/>
      <c r="E74" s="25" t="s">
        <v>56</v>
      </c>
      <c r="F74" s="13">
        <f t="shared" si="16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6"/>
      <c r="B75" s="128"/>
      <c r="C75" s="111"/>
      <c r="D75" s="114"/>
      <c r="E75" s="25" t="s">
        <v>57</v>
      </c>
      <c r="F75" s="13">
        <f t="shared" ref="F75:F106" si="30">G75+H75+I75+J75+K75+L75</f>
        <v>834.55</v>
      </c>
      <c r="G75" s="17">
        <v>200</v>
      </c>
      <c r="H75" s="16">
        <f>200-29.4</f>
        <v>170.6</v>
      </c>
      <c r="I75" s="16">
        <f>139.15</f>
        <v>139.15</v>
      </c>
      <c r="J75" s="16">
        <v>162.4</v>
      </c>
      <c r="K75" s="16">
        <v>162.4</v>
      </c>
      <c r="L75" s="16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32"/>
      <c r="B76" s="129"/>
      <c r="C76" s="112"/>
      <c r="D76" s="115"/>
      <c r="E76" s="25" t="s">
        <v>58</v>
      </c>
      <c r="F76" s="13">
        <f t="shared" si="3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5" t="s">
        <v>64</v>
      </c>
      <c r="B77" s="125" t="s">
        <v>81</v>
      </c>
      <c r="C77" s="110" t="s">
        <v>185</v>
      </c>
      <c r="D77" s="125" t="s">
        <v>149</v>
      </c>
      <c r="E77" s="19" t="s">
        <v>47</v>
      </c>
      <c r="F77" s="13">
        <f t="shared" si="30"/>
        <v>204997.00761999999</v>
      </c>
      <c r="G77" s="14">
        <f>G83+G89+G95+G101+G107</f>
        <v>25014.947349999999</v>
      </c>
      <c r="H77" s="14">
        <f>H83+H89+H95+H101+H107</f>
        <v>31872.0419</v>
      </c>
      <c r="I77" s="14">
        <f>I83+I89+I95+I101+I107+I113</f>
        <v>35052.640370000001</v>
      </c>
      <c r="J77" s="14">
        <f>J83+J89+J95+J101+J107+J113</f>
        <v>36560.891000000003</v>
      </c>
      <c r="K77" s="73">
        <f>K83+K89+K95+K101+K107</f>
        <v>37075.243000000002</v>
      </c>
      <c r="L77" s="73">
        <f>L83+L89+L95+L101</f>
        <v>39421.243999999999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6"/>
      <c r="B78" s="126"/>
      <c r="C78" s="111"/>
      <c r="D78" s="126"/>
      <c r="E78" s="19" t="s">
        <v>55</v>
      </c>
      <c r="F78" s="13">
        <f t="shared" si="30"/>
        <v>837.9</v>
      </c>
      <c r="G78" s="14">
        <f>G90+G96+G102</f>
        <v>0</v>
      </c>
      <c r="H78" s="14">
        <f>H90+H96+H102</f>
        <v>0</v>
      </c>
      <c r="I78" s="14">
        <f>I114</f>
        <v>837.9</v>
      </c>
      <c r="J78" s="14">
        <f>J114</f>
        <v>0</v>
      </c>
      <c r="K78" s="73">
        <f>K90+K96+K102</f>
        <v>0</v>
      </c>
      <c r="L78" s="73">
        <f t="shared" ref="L78" si="31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6"/>
      <c r="B79" s="126"/>
      <c r="C79" s="111"/>
      <c r="D79" s="126"/>
      <c r="E79" s="25" t="s">
        <v>168</v>
      </c>
      <c r="F79" s="13">
        <f t="shared" si="30"/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6"/>
      <c r="B80" s="126"/>
      <c r="C80" s="111"/>
      <c r="D80" s="126"/>
      <c r="E80" s="19" t="s">
        <v>56</v>
      </c>
      <c r="F80" s="13">
        <f t="shared" si="30"/>
        <v>44.1</v>
      </c>
      <c r="G80" s="14">
        <f>G92+G98+G104</f>
        <v>0</v>
      </c>
      <c r="H80" s="14">
        <f>H92+H98+H104</f>
        <v>0</v>
      </c>
      <c r="I80" s="14">
        <f>I116</f>
        <v>44.1</v>
      </c>
      <c r="J80" s="14">
        <f>J86+J92+J98+J104+J110+J116</f>
        <v>0</v>
      </c>
      <c r="K80" s="73">
        <f>K92+K98+K104</f>
        <v>0</v>
      </c>
      <c r="L80" s="73">
        <f t="shared" ref="L80" si="32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6"/>
      <c r="B81" s="126"/>
      <c r="C81" s="111"/>
      <c r="D81" s="126"/>
      <c r="E81" s="19" t="s">
        <v>57</v>
      </c>
      <c r="F81" s="13">
        <f t="shared" si="30"/>
        <v>204115.00761999999</v>
      </c>
      <c r="G81" s="14">
        <f>G87+G93+G99+G105+G111+G117</f>
        <v>25014.947349999999</v>
      </c>
      <c r="H81" s="14">
        <f>H83+H89+H95+H101+H107</f>
        <v>31872.0419</v>
      </c>
      <c r="I81" s="14">
        <f>I87+I93+I99+I105+I111+I117</f>
        <v>34170.640370000001</v>
      </c>
      <c r="J81" s="14">
        <f>J87+J93+J99+J105+J111+J117</f>
        <v>36560.891000000003</v>
      </c>
      <c r="K81" s="73">
        <f t="shared" ref="K81" si="33">K87+K93+K99+K105</f>
        <v>37075.243000000002</v>
      </c>
      <c r="L81" s="73">
        <f t="shared" ref="L81" si="34">L87+L93+L99+L105</f>
        <v>39421.243999999999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32"/>
      <c r="B82" s="132"/>
      <c r="C82" s="112"/>
      <c r="D82" s="126"/>
      <c r="E82" s="19" t="s">
        <v>58</v>
      </c>
      <c r="F82" s="13">
        <f t="shared" si="30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35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5" t="s">
        <v>65</v>
      </c>
      <c r="B83" s="127" t="s">
        <v>114</v>
      </c>
      <c r="C83" s="110" t="s">
        <v>187</v>
      </c>
      <c r="D83" s="122" t="s">
        <v>150</v>
      </c>
      <c r="E83" s="19" t="s">
        <v>47</v>
      </c>
      <c r="F83" s="13">
        <f t="shared" si="30"/>
        <v>2724.692</v>
      </c>
      <c r="G83" s="14">
        <f>G84+G86+G87+G88</f>
        <v>549.04200000000003</v>
      </c>
      <c r="H83" s="14">
        <f t="shared" ref="H83:K83" si="36">H84+H86+H87+H88</f>
        <v>1247.5</v>
      </c>
      <c r="I83" s="14">
        <f>I84+I86+I87+I88</f>
        <v>775.15</v>
      </c>
      <c r="J83" s="14">
        <f>J84+J86+J87+J88</f>
        <v>153</v>
      </c>
      <c r="K83" s="73">
        <f t="shared" si="36"/>
        <v>0</v>
      </c>
      <c r="L83" s="73">
        <f t="shared" ref="L83" si="37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6"/>
      <c r="B84" s="128"/>
      <c r="C84" s="111"/>
      <c r="D84" s="123"/>
      <c r="E84" s="19" t="s">
        <v>55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6"/>
      <c r="B85" s="128"/>
      <c r="C85" s="111"/>
      <c r="D85" s="123"/>
      <c r="E85" s="25" t="s">
        <v>168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6"/>
      <c r="B86" s="128"/>
      <c r="C86" s="111"/>
      <c r="D86" s="123"/>
      <c r="E86" s="19" t="s">
        <v>56</v>
      </c>
      <c r="F86" s="13">
        <f t="shared" si="30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6"/>
      <c r="B87" s="128"/>
      <c r="C87" s="111"/>
      <c r="D87" s="123"/>
      <c r="E87" s="19" t="s">
        <v>57</v>
      </c>
      <c r="F87" s="13">
        <f t="shared" si="30"/>
        <v>2724.692</v>
      </c>
      <c r="G87" s="17">
        <v>549.04200000000003</v>
      </c>
      <c r="H87" s="16">
        <f>1247.5</f>
        <v>1247.5</v>
      </c>
      <c r="I87" s="74">
        <f>775.15</f>
        <v>775.15</v>
      </c>
      <c r="J87" s="74">
        <v>153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32"/>
      <c r="B88" s="129"/>
      <c r="C88" s="112"/>
      <c r="D88" s="124"/>
      <c r="E88" s="19" t="s">
        <v>58</v>
      </c>
      <c r="F88" s="13">
        <f t="shared" si="30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5" t="s">
        <v>2</v>
      </c>
      <c r="B89" s="127" t="s">
        <v>115</v>
      </c>
      <c r="C89" s="110" t="s">
        <v>181</v>
      </c>
      <c r="D89" s="122" t="s">
        <v>151</v>
      </c>
      <c r="E89" s="19" t="s">
        <v>47</v>
      </c>
      <c r="F89" s="13">
        <f t="shared" si="30"/>
        <v>111891.423</v>
      </c>
      <c r="G89" s="14">
        <f>G90+G92+G93+G94</f>
        <v>13447.621999999999</v>
      </c>
      <c r="H89" s="14">
        <f t="shared" ref="H89:L89" si="38">H90+H92+H93+H94</f>
        <v>16493.159</v>
      </c>
      <c r="I89" s="14">
        <f t="shared" si="38"/>
        <v>18826.055</v>
      </c>
      <c r="J89" s="14">
        <f t="shared" si="38"/>
        <v>19924.977999999999</v>
      </c>
      <c r="K89" s="73">
        <f t="shared" si="38"/>
        <v>20930.885999999999</v>
      </c>
      <c r="L89" s="73">
        <f t="shared" si="38"/>
        <v>22268.723000000002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6"/>
      <c r="B90" s="128"/>
      <c r="C90" s="111"/>
      <c r="D90" s="123"/>
      <c r="E90" s="19" t="s">
        <v>55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6"/>
      <c r="B91" s="128"/>
      <c r="C91" s="111"/>
      <c r="D91" s="123"/>
      <c r="E91" s="25" t="s">
        <v>168</v>
      </c>
      <c r="F91" s="13">
        <f t="shared" si="30"/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6"/>
      <c r="B92" s="128"/>
      <c r="C92" s="111"/>
      <c r="D92" s="123"/>
      <c r="E92" s="19" t="s">
        <v>56</v>
      </c>
      <c r="F92" s="13">
        <f t="shared" si="30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6"/>
      <c r="B93" s="128"/>
      <c r="C93" s="111"/>
      <c r="D93" s="123"/>
      <c r="E93" s="19" t="s">
        <v>57</v>
      </c>
      <c r="F93" s="13">
        <f t="shared" si="30"/>
        <v>111891.423</v>
      </c>
      <c r="G93" s="17">
        <f>13200.514+137.108-141.215+251.215</f>
        <v>13447.621999999999</v>
      </c>
      <c r="H93" s="16">
        <f>16493.159</f>
        <v>16493.159</v>
      </c>
      <c r="I93" s="16">
        <f>18826.055</f>
        <v>18826.055</v>
      </c>
      <c r="J93" s="16">
        <v>19924.977999999999</v>
      </c>
      <c r="K93" s="16">
        <v>20930.885999999999</v>
      </c>
      <c r="L93" s="17">
        <v>22268.723000000002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32"/>
      <c r="B94" s="129"/>
      <c r="C94" s="112"/>
      <c r="D94" s="124"/>
      <c r="E94" s="19" t="s">
        <v>58</v>
      </c>
      <c r="F94" s="13">
        <f t="shared" si="30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5" t="s">
        <v>66</v>
      </c>
      <c r="B95" s="127" t="s">
        <v>116</v>
      </c>
      <c r="C95" s="110" t="s">
        <v>185</v>
      </c>
      <c r="D95" s="122" t="s">
        <v>152</v>
      </c>
      <c r="E95" s="19" t="s">
        <v>47</v>
      </c>
      <c r="F95" s="13">
        <f t="shared" si="30"/>
        <v>42027.279000000002</v>
      </c>
      <c r="G95" s="14">
        <f t="shared" ref="G95:J95" si="39">G96+G98+G99+G100</f>
        <v>5178.9229999999998</v>
      </c>
      <c r="H95" s="14">
        <f t="shared" si="39"/>
        <v>6297.915</v>
      </c>
      <c r="I95" s="14">
        <f t="shared" si="39"/>
        <v>6833.3670000000002</v>
      </c>
      <c r="J95" s="14">
        <f t="shared" si="39"/>
        <v>7983.3140000000003</v>
      </c>
      <c r="K95" s="14">
        <f t="shared" ref="K95:L95" si="40">K96+K98+K99+K100</f>
        <v>7630.25</v>
      </c>
      <c r="L95" s="14">
        <f t="shared" si="40"/>
        <v>8103.51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6"/>
      <c r="B96" s="128"/>
      <c r="C96" s="111"/>
      <c r="D96" s="123"/>
      <c r="E96" s="19" t="s">
        <v>55</v>
      </c>
      <c r="F96" s="13">
        <f t="shared" si="30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6"/>
      <c r="B97" s="128"/>
      <c r="C97" s="111"/>
      <c r="D97" s="123"/>
      <c r="E97" s="25" t="s">
        <v>168</v>
      </c>
      <c r="F97" s="13">
        <f t="shared" si="30"/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6"/>
      <c r="B98" s="128"/>
      <c r="C98" s="111"/>
      <c r="D98" s="123"/>
      <c r="E98" s="19" t="s">
        <v>56</v>
      </c>
      <c r="F98" s="13">
        <f t="shared" si="30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6"/>
      <c r="B99" s="128"/>
      <c r="C99" s="111"/>
      <c r="D99" s="123"/>
      <c r="E99" s="19" t="s">
        <v>57</v>
      </c>
      <c r="F99" s="13">
        <f t="shared" si="30"/>
        <v>42027.279000000002</v>
      </c>
      <c r="G99" s="17">
        <v>5178.9229999999998</v>
      </c>
      <c r="H99" s="16">
        <f>6297.915</f>
        <v>6297.915</v>
      </c>
      <c r="I99" s="17">
        <f>6890.527-57.16</f>
        <v>6833.3670000000002</v>
      </c>
      <c r="J99" s="17">
        <v>7983.3140000000003</v>
      </c>
      <c r="K99" s="16">
        <v>7630.25</v>
      </c>
      <c r="L99" s="17">
        <v>8103.51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32"/>
      <c r="B100" s="129"/>
      <c r="C100" s="112"/>
      <c r="D100" s="124"/>
      <c r="E100" s="19" t="s">
        <v>58</v>
      </c>
      <c r="F100" s="13">
        <f t="shared" si="30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5" t="s">
        <v>91</v>
      </c>
      <c r="B101" s="127" t="s">
        <v>117</v>
      </c>
      <c r="C101" s="110" t="s">
        <v>181</v>
      </c>
      <c r="D101" s="122" t="s">
        <v>153</v>
      </c>
      <c r="E101" s="19" t="s">
        <v>47</v>
      </c>
      <c r="F101" s="13">
        <f t="shared" si="30"/>
        <v>46887.730739999999</v>
      </c>
      <c r="G101" s="14">
        <f t="shared" ref="G101:J101" si="41">G102+G104+G105+G106</f>
        <v>5632.3603499999999</v>
      </c>
      <c r="H101" s="14">
        <f t="shared" si="41"/>
        <v>7457.4678999999996</v>
      </c>
      <c r="I101" s="14">
        <f t="shared" si="41"/>
        <v>7735.1854899999998</v>
      </c>
      <c r="J101" s="14">
        <f t="shared" si="41"/>
        <v>8499.5990000000002</v>
      </c>
      <c r="K101" s="14">
        <f t="shared" ref="K101:L101" si="42">K102+K104+K105+K106</f>
        <v>8514.107</v>
      </c>
      <c r="L101" s="14">
        <f t="shared" si="42"/>
        <v>9049.0110000000004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6"/>
      <c r="B102" s="128"/>
      <c r="C102" s="111"/>
      <c r="D102" s="123"/>
      <c r="E102" s="19" t="s">
        <v>55</v>
      </c>
      <c r="F102" s="13">
        <f t="shared" si="30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6"/>
      <c r="B103" s="128"/>
      <c r="C103" s="111"/>
      <c r="D103" s="123"/>
      <c r="E103" s="25" t="s">
        <v>168</v>
      </c>
      <c r="F103" s="13">
        <f t="shared" si="30"/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6"/>
      <c r="B104" s="128"/>
      <c r="C104" s="111"/>
      <c r="D104" s="123"/>
      <c r="E104" s="19" t="s">
        <v>56</v>
      </c>
      <c r="F104" s="13">
        <f t="shared" si="30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6"/>
      <c r="B105" s="128"/>
      <c r="C105" s="111"/>
      <c r="D105" s="123"/>
      <c r="E105" s="19" t="s">
        <v>57</v>
      </c>
      <c r="F105" s="13">
        <f t="shared" si="30"/>
        <v>46887.730739999999</v>
      </c>
      <c r="G105" s="17">
        <f>5483.835+228.516-79.99065</f>
        <v>5632.3603499999999</v>
      </c>
      <c r="H105" s="16">
        <f>7153.4679+159.8+126.7+17.5</f>
        <v>7457.4678999999996</v>
      </c>
      <c r="I105" s="16">
        <f>7736.037-0.85151</f>
        <v>7735.1854899999998</v>
      </c>
      <c r="J105" s="16">
        <v>8499.5990000000002</v>
      </c>
      <c r="K105" s="16">
        <v>8514.107</v>
      </c>
      <c r="L105" s="16">
        <v>9049.0110000000004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32"/>
      <c r="B106" s="129"/>
      <c r="C106" s="112"/>
      <c r="D106" s="124"/>
      <c r="E106" s="19" t="s">
        <v>58</v>
      </c>
      <c r="F106" s="13">
        <f t="shared" si="30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9" t="s">
        <v>122</v>
      </c>
      <c r="B107" s="127" t="s">
        <v>123</v>
      </c>
      <c r="C107" s="110" t="s">
        <v>133</v>
      </c>
      <c r="D107" s="122" t="s">
        <v>169</v>
      </c>
      <c r="E107" s="19" t="s">
        <v>47</v>
      </c>
      <c r="F107" s="13">
        <f t="shared" ref="F107:F138" si="43">G107+H107+I107+J107+K107+L107</f>
        <v>583</v>
      </c>
      <c r="G107" s="28">
        <f t="shared" ref="G107" si="44">SUM(G108:G112)</f>
        <v>206.99999999999997</v>
      </c>
      <c r="H107" s="28">
        <f>SUM(H108:H112)</f>
        <v>376</v>
      </c>
      <c r="I107" s="28">
        <f t="shared" ref="I107:J107" si="45">SUM(I108:I112)</f>
        <v>0</v>
      </c>
      <c r="J107" s="28">
        <f t="shared" si="45"/>
        <v>0</v>
      </c>
      <c r="K107" s="28">
        <f t="shared" ref="K107:L107" si="46">SUM(K108:K112)</f>
        <v>0</v>
      </c>
      <c r="L107" s="28">
        <f t="shared" si="46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6"/>
      <c r="B108" s="128"/>
      <c r="C108" s="111"/>
      <c r="D108" s="123"/>
      <c r="E108" s="19" t="s">
        <v>55</v>
      </c>
      <c r="F108" s="13">
        <f t="shared" si="43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6"/>
      <c r="B109" s="128"/>
      <c r="C109" s="111"/>
      <c r="D109" s="123"/>
      <c r="E109" s="25" t="s">
        <v>168</v>
      </c>
      <c r="F109" s="13">
        <f t="shared" si="43"/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6"/>
      <c r="B110" s="128"/>
      <c r="C110" s="111"/>
      <c r="D110" s="123"/>
      <c r="E110" s="19" t="s">
        <v>56</v>
      </c>
      <c r="F110" s="13">
        <f t="shared" si="43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6"/>
      <c r="B111" s="128"/>
      <c r="C111" s="111"/>
      <c r="D111" s="123"/>
      <c r="E111" s="19" t="s">
        <v>57</v>
      </c>
      <c r="F111" s="13">
        <f t="shared" si="43"/>
        <v>583</v>
      </c>
      <c r="G111" s="17">
        <f>458.215-251.215</f>
        <v>206.99999999999997</v>
      </c>
      <c r="H111" s="16">
        <f>280+84+12</f>
        <v>376</v>
      </c>
      <c r="I111" s="16"/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32"/>
      <c r="B112" s="129"/>
      <c r="C112" s="112"/>
      <c r="D112" s="124"/>
      <c r="E112" s="19" t="s">
        <v>58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9" t="s">
        <v>171</v>
      </c>
      <c r="B113" s="127" t="s">
        <v>172</v>
      </c>
      <c r="C113" s="110">
        <v>2024</v>
      </c>
      <c r="D113" s="122" t="s">
        <v>153</v>
      </c>
      <c r="E113" s="19" t="s">
        <v>47</v>
      </c>
      <c r="F113" s="13">
        <f t="shared" si="43"/>
        <v>882.88288</v>
      </c>
      <c r="G113" s="28">
        <f t="shared" ref="G113" si="47">SUM(G114:G118)</f>
        <v>0</v>
      </c>
      <c r="H113" s="28">
        <f>SUM(H114:H118)</f>
        <v>0</v>
      </c>
      <c r="I113" s="28">
        <f t="shared" ref="I113:L113" si="48">SUM(I114:I118)</f>
        <v>882.88288</v>
      </c>
      <c r="J113" s="28">
        <f t="shared" si="48"/>
        <v>0</v>
      </c>
      <c r="K113" s="28">
        <f t="shared" si="48"/>
        <v>0</v>
      </c>
      <c r="L113" s="28">
        <f t="shared" si="48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6"/>
      <c r="B114" s="128"/>
      <c r="C114" s="111"/>
      <c r="D114" s="123"/>
      <c r="E114" s="19" t="s">
        <v>55</v>
      </c>
      <c r="F114" s="13">
        <f t="shared" si="43"/>
        <v>837.9</v>
      </c>
      <c r="G114" s="16">
        <v>0</v>
      </c>
      <c r="H114" s="16">
        <v>0</v>
      </c>
      <c r="I114" s="16">
        <v>837.9</v>
      </c>
      <c r="J114" s="16"/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6"/>
      <c r="B115" s="128"/>
      <c r="C115" s="111"/>
      <c r="D115" s="123"/>
      <c r="E115" s="25" t="s">
        <v>168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6"/>
      <c r="B116" s="128"/>
      <c r="C116" s="111"/>
      <c r="D116" s="123"/>
      <c r="E116" s="19" t="s">
        <v>56</v>
      </c>
      <c r="F116" s="13">
        <f t="shared" si="43"/>
        <v>44.1</v>
      </c>
      <c r="G116" s="16">
        <v>0</v>
      </c>
      <c r="H116" s="16">
        <v>0</v>
      </c>
      <c r="I116" s="16">
        <v>44.1</v>
      </c>
      <c r="J116" s="16"/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6"/>
      <c r="B117" s="128"/>
      <c r="C117" s="111"/>
      <c r="D117" s="123"/>
      <c r="E117" s="19" t="s">
        <v>57</v>
      </c>
      <c r="F117" s="13">
        <f t="shared" si="43"/>
        <v>0.88288</v>
      </c>
      <c r="G117" s="16">
        <v>0</v>
      </c>
      <c r="H117" s="17">
        <v>0</v>
      </c>
      <c r="I117" s="16">
        <v>0.88288</v>
      </c>
      <c r="J117" s="16"/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32"/>
      <c r="B118" s="129"/>
      <c r="C118" s="112"/>
      <c r="D118" s="124"/>
      <c r="E118" s="19" t="s">
        <v>58</v>
      </c>
      <c r="F118" s="13">
        <f t="shared" si="43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3" t="s">
        <v>67</v>
      </c>
      <c r="B119" s="113" t="s">
        <v>83</v>
      </c>
      <c r="C119" s="110" t="s">
        <v>181</v>
      </c>
      <c r="D119" s="113" t="s">
        <v>148</v>
      </c>
      <c r="E119" s="26" t="s">
        <v>47</v>
      </c>
      <c r="F119" s="13">
        <f t="shared" si="43"/>
        <v>430619.35976999992</v>
      </c>
      <c r="G119" s="14">
        <f>G125+G131+G137+G143+G155+G161+G167+G173+G179+G185</f>
        <v>62561.963919999995</v>
      </c>
      <c r="H119" s="14">
        <f t="shared" ref="H119:L119" si="49">H125+H131+H137+H143+H155+H161+H167+H173+H179+H185</f>
        <v>74257.347369999989</v>
      </c>
      <c r="I119" s="14">
        <f t="shared" si="49"/>
        <v>73908.138609999995</v>
      </c>
      <c r="J119" s="14">
        <f t="shared" si="49"/>
        <v>72094.521689999994</v>
      </c>
      <c r="K119" s="73">
        <f>K125+K131+K137+K143+K155+K161+K167+K173+K179+K185</f>
        <v>73009.583379999982</v>
      </c>
      <c r="L119" s="73">
        <f t="shared" si="49"/>
        <v>74787.804799999998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4"/>
      <c r="B120" s="114"/>
      <c r="C120" s="111"/>
      <c r="D120" s="114"/>
      <c r="E120" s="26" t="s">
        <v>55</v>
      </c>
      <c r="F120" s="13">
        <f t="shared" si="43"/>
        <v>6900.0649199999998</v>
      </c>
      <c r="G120" s="14">
        <f>G126+G132+G138+G144+G156+G162+G168+G174</f>
        <v>335.34931</v>
      </c>
      <c r="H120" s="14">
        <f>H126+H132+H138+H144+H156+H162+H168+H174+H180+H186</f>
        <v>5342.30332</v>
      </c>
      <c r="I120" s="14">
        <f>I156+I162+I168+I126+I132+I138+I144+I174+I180+I186</f>
        <v>305.15024</v>
      </c>
      <c r="J120" s="14">
        <f>J126+J132+J138+J144++J156+J162+J168+J174+J180+J186</f>
        <v>306.07243999999997</v>
      </c>
      <c r="K120" s="73">
        <f>K126+K132+K138+K144+K156+K162+K168+K174</f>
        <v>300.02109999999999</v>
      </c>
      <c r="L120" s="73">
        <f>L126+L132+L138+L144+L156+L162+L168+L174+L180+L186</f>
        <v>311.16851000000003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4"/>
      <c r="B121" s="114"/>
      <c r="C121" s="111"/>
      <c r="D121" s="114"/>
      <c r="E121" s="25" t="s">
        <v>168</v>
      </c>
      <c r="F121" s="13">
        <f t="shared" si="43"/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4"/>
      <c r="B122" s="114"/>
      <c r="C122" s="111"/>
      <c r="D122" s="114"/>
      <c r="E122" s="26" t="s">
        <v>56</v>
      </c>
      <c r="F122" s="13">
        <f t="shared" si="43"/>
        <v>110.40711</v>
      </c>
      <c r="G122" s="14">
        <f>G128+G134+G140+G146+G158+G164+G170+G176</f>
        <v>17.64996</v>
      </c>
      <c r="H122" s="14">
        <f>H128+H134+H140+H146+H158+H164+H170+H176+H182+H188</f>
        <v>18.01596</v>
      </c>
      <c r="I122" s="14">
        <f>I158+I164+I170+I128+I176</f>
        <v>16.06054</v>
      </c>
      <c r="J122" s="14">
        <f>J128+J134+J140+J146+J158+J164+J170+J176+J182+J188</f>
        <v>16.109080000000002</v>
      </c>
      <c r="K122" s="73">
        <f>K128+K134+K146+K158+K164+K170+K176+K182+K188</f>
        <v>19.150279999999999</v>
      </c>
      <c r="L122" s="73">
        <f>L128+L134+L140+L146+L158+L164+L170+L176+L182+L188</f>
        <v>23.421289999999999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4"/>
      <c r="B123" s="114"/>
      <c r="C123" s="111"/>
      <c r="D123" s="114"/>
      <c r="E123" s="26" t="s">
        <v>57</v>
      </c>
      <c r="F123" s="13">
        <f t="shared" si="43"/>
        <v>423608.88773999992</v>
      </c>
      <c r="G123" s="14">
        <f>G129+G135+G141+G147+G159+G165+G171+G177+G183+G189</f>
        <v>62208.964649999994</v>
      </c>
      <c r="H123" s="14">
        <f>H129+H135+H141+H147+H159+H165+H171+H177+H183+H189</f>
        <v>68897.028089999993</v>
      </c>
      <c r="I123" s="14">
        <f>I129+I135+I141+I147+I159+I165+I171+I177+I183</f>
        <v>73586.927830000001</v>
      </c>
      <c r="J123" s="14">
        <f>J129+J135+J141+J147+J159+J165+J171+J177+J183+J189</f>
        <v>71772.340169999996</v>
      </c>
      <c r="K123" s="73">
        <f>K129+K135+K141+K147+K159+K165+K171+K177+K183+K189</f>
        <v>72690.411999999982</v>
      </c>
      <c r="L123" s="73">
        <f>L129+L135+L141+L147+L159+L165+L171+L177+L183+L189</f>
        <v>74453.214999999997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5"/>
      <c r="B124" s="115"/>
      <c r="C124" s="112"/>
      <c r="D124" s="115"/>
      <c r="E124" s="26" t="s">
        <v>58</v>
      </c>
      <c r="F124" s="13">
        <f t="shared" si="43"/>
        <v>0</v>
      </c>
      <c r="G124" s="14">
        <f>G130+G136+G142+G148+G160+G166+G172+G178</f>
        <v>0</v>
      </c>
      <c r="H124" s="14">
        <f t="shared" ref="H124:I124" si="50">H160+H166+H172</f>
        <v>0</v>
      </c>
      <c r="I124" s="14">
        <f t="shared" si="50"/>
        <v>0</v>
      </c>
      <c r="J124" s="14">
        <f t="shared" ref="J124:K124" si="51">J160+J166+J172</f>
        <v>0</v>
      </c>
      <c r="K124" s="73">
        <f t="shared" si="51"/>
        <v>0</v>
      </c>
      <c r="L124" s="73">
        <f t="shared" ref="L124" si="52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3" t="s">
        <v>68</v>
      </c>
      <c r="B125" s="116" t="s">
        <v>98</v>
      </c>
      <c r="C125" s="110" t="s">
        <v>188</v>
      </c>
      <c r="D125" s="104" t="s">
        <v>154</v>
      </c>
      <c r="E125" s="26" t="s">
        <v>47</v>
      </c>
      <c r="F125" s="13">
        <f t="shared" si="43"/>
        <v>35146.817499999997</v>
      </c>
      <c r="G125" s="14">
        <f t="shared" ref="G125:H125" si="53">G126+G128+G129+G130</f>
        <v>12376.550999999999</v>
      </c>
      <c r="H125" s="14">
        <f t="shared" si="53"/>
        <v>9479.1474999999991</v>
      </c>
      <c r="I125" s="14">
        <f>I126+I128+I129+I130</f>
        <v>8264.33</v>
      </c>
      <c r="J125" s="14">
        <f>J126+J128+J129+J130</f>
        <v>2895.1060000000002</v>
      </c>
      <c r="K125" s="73">
        <f>K126+K128+K129+K130</f>
        <v>2131.683</v>
      </c>
      <c r="L125" s="73">
        <f>L126+L128+L129+L130</f>
        <v>0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4"/>
      <c r="B126" s="117"/>
      <c r="C126" s="111"/>
      <c r="D126" s="144"/>
      <c r="E126" s="26" t="s">
        <v>55</v>
      </c>
      <c r="F126" s="13">
        <f t="shared" si="43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4"/>
      <c r="B127" s="117"/>
      <c r="C127" s="111"/>
      <c r="D127" s="144"/>
      <c r="E127" s="25" t="s">
        <v>168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4"/>
      <c r="B128" s="117"/>
      <c r="C128" s="111"/>
      <c r="D128" s="144"/>
      <c r="E128" s="26" t="s">
        <v>56</v>
      </c>
      <c r="F128" s="13">
        <f t="shared" si="43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4"/>
      <c r="B129" s="117"/>
      <c r="C129" s="111"/>
      <c r="D129" s="144"/>
      <c r="E129" s="26" t="s">
        <v>57</v>
      </c>
      <c r="F129" s="13">
        <f t="shared" si="43"/>
        <v>35146.817499999997</v>
      </c>
      <c r="G129" s="17">
        <v>12376.550999999999</v>
      </c>
      <c r="H129" s="16">
        <f>9479.1475</f>
        <v>9479.1474999999991</v>
      </c>
      <c r="I129" s="17">
        <f>8264.33</f>
        <v>8264.33</v>
      </c>
      <c r="J129" s="17">
        <v>2895.1060000000002</v>
      </c>
      <c r="K129" s="17">
        <v>2131.683</v>
      </c>
      <c r="L129" s="16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5"/>
      <c r="B130" s="118"/>
      <c r="C130" s="112"/>
      <c r="D130" s="145"/>
      <c r="E130" s="26" t="s">
        <v>58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3" t="s">
        <v>69</v>
      </c>
      <c r="B131" s="107" t="s">
        <v>164</v>
      </c>
      <c r="C131" s="110" t="s">
        <v>189</v>
      </c>
      <c r="D131" s="104" t="s">
        <v>155</v>
      </c>
      <c r="E131" s="26" t="s">
        <v>47</v>
      </c>
      <c r="F131" s="13">
        <f t="shared" si="43"/>
        <v>1674.9509099999998</v>
      </c>
      <c r="G131" s="14">
        <f t="shared" ref="G131:L131" si="54">G132+G134+G135+G136</f>
        <v>713</v>
      </c>
      <c r="H131" s="14">
        <f t="shared" si="54"/>
        <v>276.60091</v>
      </c>
      <c r="I131" s="14">
        <f t="shared" si="54"/>
        <v>202.15</v>
      </c>
      <c r="J131" s="14">
        <f t="shared" si="54"/>
        <v>241.6</v>
      </c>
      <c r="K131" s="73">
        <f t="shared" si="54"/>
        <v>241.6</v>
      </c>
      <c r="L131" s="73">
        <f t="shared" si="54"/>
        <v>0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4"/>
      <c r="B132" s="130"/>
      <c r="C132" s="111"/>
      <c r="D132" s="144"/>
      <c r="E132" s="26" t="s">
        <v>55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4"/>
      <c r="B133" s="130"/>
      <c r="C133" s="111"/>
      <c r="D133" s="144"/>
      <c r="E133" s="25" t="s">
        <v>168</v>
      </c>
      <c r="F133" s="13">
        <f t="shared" si="43"/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4"/>
      <c r="B134" s="130"/>
      <c r="C134" s="111"/>
      <c r="D134" s="144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4"/>
      <c r="B135" s="130"/>
      <c r="C135" s="111"/>
      <c r="D135" s="144"/>
      <c r="E135" s="26" t="s">
        <v>57</v>
      </c>
      <c r="F135" s="13">
        <f t="shared" si="43"/>
        <v>1674.9509099999998</v>
      </c>
      <c r="G135" s="16">
        <v>713</v>
      </c>
      <c r="H135" s="17">
        <f>276.60091</f>
        <v>276.60091</v>
      </c>
      <c r="I135" s="16">
        <f>202.15</f>
        <v>202.15</v>
      </c>
      <c r="J135" s="16">
        <v>241.6</v>
      </c>
      <c r="K135" s="16">
        <v>241.6</v>
      </c>
      <c r="L135" s="16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5"/>
      <c r="B136" s="131"/>
      <c r="C136" s="112"/>
      <c r="D136" s="145"/>
      <c r="E136" s="26" t="s">
        <v>58</v>
      </c>
      <c r="F136" s="13">
        <f t="shared" si="43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3" t="s">
        <v>75</v>
      </c>
      <c r="B137" s="107" t="s">
        <v>100</v>
      </c>
      <c r="C137" s="110" t="s">
        <v>193</v>
      </c>
      <c r="D137" s="104" t="s">
        <v>156</v>
      </c>
      <c r="E137" s="26" t="s">
        <v>47</v>
      </c>
      <c r="F137" s="13">
        <f t="shared" si="43"/>
        <v>1170</v>
      </c>
      <c r="G137" s="14">
        <f>G138+G140+G141+G142</f>
        <v>0</v>
      </c>
      <c r="H137" s="14">
        <f>H138+H140+H141+H142</f>
        <v>0</v>
      </c>
      <c r="I137" s="14">
        <f>I138+I140+I141+I142</f>
        <v>870</v>
      </c>
      <c r="J137" s="14">
        <f>J138+J140+J141+J142</f>
        <v>300</v>
      </c>
      <c r="K137" s="14">
        <f t="shared" ref="K137:L137" si="55">K138+K140+K141+K142</f>
        <v>0</v>
      </c>
      <c r="L137" s="14">
        <f t="shared" si="55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4"/>
      <c r="B138" s="130"/>
      <c r="C138" s="111"/>
      <c r="D138" s="144"/>
      <c r="E138" s="26" t="s">
        <v>55</v>
      </c>
      <c r="F138" s="13">
        <f t="shared" si="43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4"/>
      <c r="B139" s="130"/>
      <c r="C139" s="111"/>
      <c r="D139" s="144"/>
      <c r="E139" s="25" t="s">
        <v>168</v>
      </c>
      <c r="F139" s="13">
        <f t="shared" ref="F139:F148" si="56"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4"/>
      <c r="B140" s="130"/>
      <c r="C140" s="111"/>
      <c r="D140" s="144"/>
      <c r="E140" s="26" t="s">
        <v>56</v>
      </c>
      <c r="F140" s="13">
        <f t="shared" si="56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4"/>
      <c r="B141" s="130"/>
      <c r="C141" s="111"/>
      <c r="D141" s="144"/>
      <c r="E141" s="26" t="s">
        <v>57</v>
      </c>
      <c r="F141" s="13">
        <f t="shared" si="56"/>
        <v>1170</v>
      </c>
      <c r="G141" s="17"/>
      <c r="H141" s="16">
        <v>0</v>
      </c>
      <c r="I141" s="16">
        <v>870</v>
      </c>
      <c r="J141" s="16">
        <v>300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5"/>
      <c r="B142" s="131"/>
      <c r="C142" s="112"/>
      <c r="D142" s="145"/>
      <c r="E142" s="26" t="s">
        <v>58</v>
      </c>
      <c r="F142" s="13">
        <f t="shared" si="56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3" t="s">
        <v>95</v>
      </c>
      <c r="B143" s="107" t="s">
        <v>99</v>
      </c>
      <c r="C143" s="110" t="s">
        <v>190</v>
      </c>
      <c r="D143" s="104" t="s">
        <v>157</v>
      </c>
      <c r="E143" s="26" t="s">
        <v>47</v>
      </c>
      <c r="F143" s="13">
        <f t="shared" si="56"/>
        <v>1933.3409999999999</v>
      </c>
      <c r="G143" s="14">
        <f t="shared" ref="G143:L143" si="57">G144+G146+G147+G148</f>
        <v>0</v>
      </c>
      <c r="H143" s="14">
        <f t="shared" si="57"/>
        <v>61.08</v>
      </c>
      <c r="I143" s="14">
        <f t="shared" si="57"/>
        <v>1872.261</v>
      </c>
      <c r="J143" s="14">
        <f t="shared" si="57"/>
        <v>0</v>
      </c>
      <c r="K143" s="73">
        <f t="shared" si="57"/>
        <v>0</v>
      </c>
      <c r="L143" s="73">
        <f t="shared" si="57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4"/>
      <c r="B144" s="130"/>
      <c r="C144" s="111"/>
      <c r="D144" s="144"/>
      <c r="E144" s="26" t="s">
        <v>55</v>
      </c>
      <c r="F144" s="13">
        <f t="shared" si="56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4"/>
      <c r="B145" s="130"/>
      <c r="C145" s="111"/>
      <c r="D145" s="144"/>
      <c r="E145" s="25" t="s">
        <v>168</v>
      </c>
      <c r="F145" s="13">
        <f t="shared" si="56"/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4"/>
      <c r="B146" s="130"/>
      <c r="C146" s="111"/>
      <c r="D146" s="144"/>
      <c r="E146" s="26" t="s">
        <v>56</v>
      </c>
      <c r="F146" s="13">
        <f t="shared" si="56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4"/>
      <c r="B147" s="130"/>
      <c r="C147" s="111"/>
      <c r="D147" s="144"/>
      <c r="E147" s="26" t="s">
        <v>57</v>
      </c>
      <c r="F147" s="13">
        <f t="shared" si="56"/>
        <v>1933.3409999999999</v>
      </c>
      <c r="G147" s="17"/>
      <c r="H147" s="16">
        <v>61.08</v>
      </c>
      <c r="I147" s="17">
        <f>1872.261</f>
        <v>1872.261</v>
      </c>
      <c r="J147" s="17"/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5"/>
      <c r="B148" s="131"/>
      <c r="C148" s="112"/>
      <c r="D148" s="145"/>
      <c r="E148" s="26" t="s">
        <v>58</v>
      </c>
      <c r="F148" s="13">
        <f t="shared" si="56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18.75" hidden="1" customHeight="1">
      <c r="A149" s="113" t="s">
        <v>92</v>
      </c>
      <c r="B149" s="107" t="s">
        <v>191</v>
      </c>
      <c r="C149" s="110"/>
      <c r="D149" s="104" t="s">
        <v>87</v>
      </c>
      <c r="E149" s="26" t="s">
        <v>47</v>
      </c>
      <c r="F149" s="13"/>
      <c r="G149" s="16"/>
      <c r="H149" s="16"/>
      <c r="I149" s="16"/>
      <c r="J149" s="16"/>
      <c r="K149" s="16"/>
      <c r="L149" s="16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18.75" hidden="1" customHeight="1">
      <c r="A150" s="114"/>
      <c r="B150" s="130"/>
      <c r="C150" s="111"/>
      <c r="D150" s="144" t="s">
        <v>87</v>
      </c>
      <c r="E150" s="26" t="s">
        <v>55</v>
      </c>
      <c r="F150" s="13"/>
      <c r="G150" s="16"/>
      <c r="H150" s="16"/>
      <c r="I150" s="16"/>
      <c r="J150" s="16"/>
      <c r="K150" s="16"/>
      <c r="L150" s="16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hidden="1" customHeight="1">
      <c r="A151" s="114"/>
      <c r="B151" s="130"/>
      <c r="C151" s="111"/>
      <c r="D151" s="144"/>
      <c r="E151" s="25" t="s">
        <v>168</v>
      </c>
      <c r="F151" s="13"/>
      <c r="G151" s="16"/>
      <c r="H151" s="16"/>
      <c r="I151" s="16"/>
      <c r="J151" s="16"/>
      <c r="K151" s="16"/>
      <c r="L151" s="16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18.75" hidden="1" customHeight="1">
      <c r="A152" s="114"/>
      <c r="B152" s="130"/>
      <c r="C152" s="111"/>
      <c r="D152" s="144"/>
      <c r="E152" s="26" t="s">
        <v>56</v>
      </c>
      <c r="F152" s="13"/>
      <c r="G152" s="16"/>
      <c r="H152" s="16"/>
      <c r="I152" s="16"/>
      <c r="J152" s="16"/>
      <c r="K152" s="16"/>
      <c r="L152" s="16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18.75" hidden="1" customHeight="1">
      <c r="A153" s="114"/>
      <c r="B153" s="130"/>
      <c r="C153" s="111"/>
      <c r="D153" s="144"/>
      <c r="E153" s="26" t="s">
        <v>57</v>
      </c>
      <c r="F153" s="13"/>
      <c r="G153" s="16"/>
      <c r="H153" s="16"/>
      <c r="I153" s="16"/>
      <c r="J153" s="16"/>
      <c r="K153" s="16"/>
      <c r="L153" s="16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8.75" hidden="1" customHeight="1">
      <c r="A154" s="115"/>
      <c r="B154" s="131"/>
      <c r="C154" s="112"/>
      <c r="D154" s="145"/>
      <c r="E154" s="26" t="s">
        <v>58</v>
      </c>
      <c r="F154" s="13"/>
      <c r="G154" s="16"/>
      <c r="H154" s="16"/>
      <c r="I154" s="16"/>
      <c r="J154" s="16"/>
      <c r="K154" s="16"/>
      <c r="L154" s="16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3" t="s">
        <v>92</v>
      </c>
      <c r="B155" s="119" t="s">
        <v>118</v>
      </c>
      <c r="C155" s="110" t="s">
        <v>181</v>
      </c>
      <c r="D155" s="104" t="s">
        <v>159</v>
      </c>
      <c r="E155" s="26" t="s">
        <v>47</v>
      </c>
      <c r="F155" s="13">
        <f t="shared" ref="F155:F186" si="58">G155+H155+I155+J155+K155+L155</f>
        <v>136709.40099999998</v>
      </c>
      <c r="G155" s="14">
        <f t="shared" ref="G155:H155" si="59">G156+G158+G159+G160</f>
        <v>17002.364999999998</v>
      </c>
      <c r="H155" s="14">
        <f t="shared" si="59"/>
        <v>20471.473999999998</v>
      </c>
      <c r="I155" s="14">
        <f>I156+I158+I159+I160</f>
        <v>22310.907999999999</v>
      </c>
      <c r="J155" s="14">
        <f>J156+J158+J159+J160</f>
        <v>24247.881000000001</v>
      </c>
      <c r="K155" s="73">
        <f>K156+K158+K159+K160</f>
        <v>25548.999</v>
      </c>
      <c r="L155" s="73">
        <f>L156+L158+L159+L160</f>
        <v>27127.774000000001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4"/>
      <c r="B156" s="120"/>
      <c r="C156" s="111"/>
      <c r="D156" s="144"/>
      <c r="E156" s="26" t="s">
        <v>55</v>
      </c>
      <c r="F156" s="13">
        <f t="shared" si="58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4"/>
      <c r="B157" s="120"/>
      <c r="C157" s="111"/>
      <c r="D157" s="144"/>
      <c r="E157" s="25" t="s">
        <v>168</v>
      </c>
      <c r="F157" s="13">
        <f t="shared" si="58"/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4"/>
      <c r="B158" s="120"/>
      <c r="C158" s="111"/>
      <c r="D158" s="144"/>
      <c r="E158" s="26" t="s">
        <v>56</v>
      </c>
      <c r="F158" s="13">
        <f t="shared" si="58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4"/>
      <c r="B159" s="120"/>
      <c r="C159" s="111"/>
      <c r="D159" s="144"/>
      <c r="E159" s="26" t="s">
        <v>57</v>
      </c>
      <c r="F159" s="13">
        <f t="shared" si="58"/>
        <v>136709.40099999998</v>
      </c>
      <c r="G159" s="16">
        <f>16910.958+91.407</f>
        <v>17002.364999999998</v>
      </c>
      <c r="H159" s="16">
        <v>20471.473999999998</v>
      </c>
      <c r="I159" s="17">
        <f>22310.908</f>
        <v>22310.907999999999</v>
      </c>
      <c r="J159" s="17">
        <v>24247.881000000001</v>
      </c>
      <c r="K159" s="16">
        <v>25548.999</v>
      </c>
      <c r="L159" s="17">
        <v>27127.774000000001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5"/>
      <c r="B160" s="121"/>
      <c r="C160" s="112"/>
      <c r="D160" s="145"/>
      <c r="E160" s="26" t="s">
        <v>58</v>
      </c>
      <c r="F160" s="13">
        <f t="shared" si="58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3" t="s">
        <v>93</v>
      </c>
      <c r="B161" s="107" t="s">
        <v>84</v>
      </c>
      <c r="C161" s="110" t="s">
        <v>185</v>
      </c>
      <c r="D161" s="104" t="s">
        <v>160</v>
      </c>
      <c r="E161" s="26" t="s">
        <v>47</v>
      </c>
      <c r="F161" s="13">
        <f t="shared" si="58"/>
        <v>43653.144</v>
      </c>
      <c r="G161" s="14">
        <f t="shared" ref="G161:I161" si="60">G162+G164+G165+G166</f>
        <v>5411.7749999999996</v>
      </c>
      <c r="H161" s="14">
        <f t="shared" si="60"/>
        <v>6502.9970000000003</v>
      </c>
      <c r="I161" s="14">
        <f t="shared" si="60"/>
        <v>7087.942</v>
      </c>
      <c r="J161" s="14">
        <f t="shared" ref="J161:L161" si="61">J162+J164+J165+J166</f>
        <v>7716.058</v>
      </c>
      <c r="K161" s="73">
        <f t="shared" si="61"/>
        <v>8216.8349999999991</v>
      </c>
      <c r="L161" s="73">
        <f t="shared" si="61"/>
        <v>8717.5370000000003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4"/>
      <c r="B162" s="120"/>
      <c r="C162" s="111"/>
      <c r="D162" s="105"/>
      <c r="E162" s="26" t="s">
        <v>55</v>
      </c>
      <c r="F162" s="13">
        <f t="shared" si="5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4"/>
      <c r="B163" s="120"/>
      <c r="C163" s="111"/>
      <c r="D163" s="105"/>
      <c r="E163" s="25" t="s">
        <v>168</v>
      </c>
      <c r="F163" s="13">
        <f t="shared" si="58"/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4"/>
      <c r="B164" s="120"/>
      <c r="C164" s="111"/>
      <c r="D164" s="105"/>
      <c r="E164" s="26" t="s">
        <v>56</v>
      </c>
      <c r="F164" s="13">
        <f t="shared" si="5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4"/>
      <c r="B165" s="120"/>
      <c r="C165" s="111"/>
      <c r="D165" s="105"/>
      <c r="E165" s="26" t="s">
        <v>57</v>
      </c>
      <c r="F165" s="13">
        <f t="shared" si="58"/>
        <v>43653.144</v>
      </c>
      <c r="G165" s="16">
        <v>5411.7749999999996</v>
      </c>
      <c r="H165" s="16">
        <v>6502.9970000000003</v>
      </c>
      <c r="I165" s="16">
        <v>7087.942</v>
      </c>
      <c r="J165" s="16">
        <v>7716.058</v>
      </c>
      <c r="K165" s="16">
        <v>8216.8349999999991</v>
      </c>
      <c r="L165" s="17">
        <v>8717.5370000000003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5"/>
      <c r="B166" s="121"/>
      <c r="C166" s="112"/>
      <c r="D166" s="106"/>
      <c r="E166" s="26" t="s">
        <v>58</v>
      </c>
      <c r="F166" s="13">
        <f t="shared" si="5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3" t="s">
        <v>94</v>
      </c>
      <c r="B167" s="107" t="s">
        <v>119</v>
      </c>
      <c r="C167" s="110" t="s">
        <v>181</v>
      </c>
      <c r="D167" s="136" t="s">
        <v>158</v>
      </c>
      <c r="E167" s="26" t="s">
        <v>47</v>
      </c>
      <c r="F167" s="13">
        <f t="shared" si="58"/>
        <v>202335.65421000001</v>
      </c>
      <c r="G167" s="14">
        <f t="shared" ref="G167:I167" si="62">G168+G170+G171+G172</f>
        <v>26229.38365</v>
      </c>
      <c r="H167" s="14">
        <f t="shared" si="62"/>
        <v>31748.867999999999</v>
      </c>
      <c r="I167" s="14">
        <f t="shared" si="62"/>
        <v>32827.4853</v>
      </c>
      <c r="J167" s="14">
        <f t="shared" ref="J167:L167" si="63">J168+J170+J171+J172</f>
        <v>36371.372669999997</v>
      </c>
      <c r="K167" s="73">
        <f t="shared" si="63"/>
        <v>36550.975509999997</v>
      </c>
      <c r="L167" s="73">
        <f t="shared" si="63"/>
        <v>38607.569080000001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4"/>
      <c r="B168" s="120"/>
      <c r="C168" s="111"/>
      <c r="D168" s="136"/>
      <c r="E168" s="26" t="s">
        <v>55</v>
      </c>
      <c r="F168" s="13">
        <f t="shared" si="58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4"/>
      <c r="B169" s="120"/>
      <c r="C169" s="111"/>
      <c r="D169" s="136"/>
      <c r="E169" s="25" t="s">
        <v>168</v>
      </c>
      <c r="F169" s="13">
        <f t="shared" si="58"/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4"/>
      <c r="B170" s="120"/>
      <c r="C170" s="111"/>
      <c r="D170" s="136"/>
      <c r="E170" s="26" t="s">
        <v>56</v>
      </c>
      <c r="F170" s="13">
        <f t="shared" si="58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4"/>
      <c r="B171" s="120"/>
      <c r="C171" s="111"/>
      <c r="D171" s="136"/>
      <c r="E171" s="26" t="s">
        <v>57</v>
      </c>
      <c r="F171" s="13">
        <f t="shared" si="58"/>
        <v>202335.65421000001</v>
      </c>
      <c r="G171" s="16">
        <f>26465.209-457.031+221.20565</f>
        <v>26229.38365</v>
      </c>
      <c r="H171" s="16">
        <f>31748.868</f>
        <v>31748.867999999999</v>
      </c>
      <c r="I171" s="17">
        <f>32778.152+49.3333</f>
        <v>32827.4853</v>
      </c>
      <c r="J171" s="17">
        <v>36371.372669999997</v>
      </c>
      <c r="K171" s="98">
        <f>36551.295-0.31949</f>
        <v>36550.975509999997</v>
      </c>
      <c r="L171" s="98">
        <f>38607.904-0.33492</f>
        <v>38607.569080000001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5"/>
      <c r="B172" s="121"/>
      <c r="C172" s="112"/>
      <c r="D172" s="137"/>
      <c r="E172" s="26" t="s">
        <v>58</v>
      </c>
      <c r="F172" s="13">
        <f t="shared" si="58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3" t="s">
        <v>102</v>
      </c>
      <c r="B173" s="107" t="s">
        <v>105</v>
      </c>
      <c r="C173" s="133" t="s">
        <v>195</v>
      </c>
      <c r="D173" s="104" t="s">
        <v>158</v>
      </c>
      <c r="E173" s="26" t="s">
        <v>47</v>
      </c>
      <c r="F173" s="13">
        <f t="shared" si="58"/>
        <v>2012.1311500000002</v>
      </c>
      <c r="G173" s="14">
        <f>G174+G176+G177+G178</f>
        <v>352.99927000000002</v>
      </c>
      <c r="H173" s="14">
        <f>H174+H176+H177+H178</f>
        <v>360.67995999999999</v>
      </c>
      <c r="I173" s="14">
        <f>I174+I176+I177+I178</f>
        <v>321.53231</v>
      </c>
      <c r="J173" s="14">
        <f>J174+J176+J177+J178</f>
        <v>322.50401999999997</v>
      </c>
      <c r="K173" s="14">
        <f t="shared" ref="K173:L173" si="64">K174+K176+K177+K178</f>
        <v>319.49086999999997</v>
      </c>
      <c r="L173" s="14">
        <f t="shared" si="64"/>
        <v>334.92472000000004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4"/>
      <c r="B174" s="130"/>
      <c r="C174" s="134"/>
      <c r="D174" s="144"/>
      <c r="E174" s="26" t="s">
        <v>55</v>
      </c>
      <c r="F174" s="13">
        <f t="shared" si="58"/>
        <v>1900.0649199999998</v>
      </c>
      <c r="G174" s="16">
        <v>335.34931</v>
      </c>
      <c r="H174" s="74">
        <v>342.30331999999999</v>
      </c>
      <c r="I174" s="16">
        <v>305.15024</v>
      </c>
      <c r="J174" s="76">
        <f>300.2152+5.85724</f>
        <v>306.07243999999997</v>
      </c>
      <c r="K174" s="76">
        <v>300.02109999999999</v>
      </c>
      <c r="L174" s="76">
        <v>311.16851000000003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4"/>
      <c r="B175" s="130"/>
      <c r="C175" s="134"/>
      <c r="D175" s="144"/>
      <c r="E175" s="25" t="s">
        <v>168</v>
      </c>
      <c r="F175" s="13">
        <f t="shared" si="58"/>
        <v>0</v>
      </c>
      <c r="G175" s="16">
        <v>0</v>
      </c>
      <c r="H175" s="16">
        <v>0</v>
      </c>
      <c r="I175" s="16">
        <v>0</v>
      </c>
      <c r="J175" s="76">
        <v>0</v>
      </c>
      <c r="K175" s="76"/>
      <c r="L175" s="76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4"/>
      <c r="B176" s="130"/>
      <c r="C176" s="134"/>
      <c r="D176" s="144"/>
      <c r="E176" s="26" t="s">
        <v>56</v>
      </c>
      <c r="F176" s="13">
        <f t="shared" si="58"/>
        <v>110.40711</v>
      </c>
      <c r="G176" s="16">
        <v>17.64996</v>
      </c>
      <c r="H176" s="74">
        <v>18.01596</v>
      </c>
      <c r="I176" s="16">
        <v>16.06054</v>
      </c>
      <c r="J176" s="76">
        <f>15.8008+0.30828</f>
        <v>16.109080000000002</v>
      </c>
      <c r="K176" s="76">
        <v>19.150279999999999</v>
      </c>
      <c r="L176" s="76">
        <v>23.421289999999999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4"/>
      <c r="B177" s="130"/>
      <c r="C177" s="134"/>
      <c r="D177" s="144"/>
      <c r="E177" s="26" t="s">
        <v>57</v>
      </c>
      <c r="F177" s="13">
        <f t="shared" si="58"/>
        <v>1.6591200000000002</v>
      </c>
      <c r="G177" s="16">
        <v>0</v>
      </c>
      <c r="H177" s="74">
        <v>0.36068</v>
      </c>
      <c r="I177" s="76">
        <v>0.32152999999999998</v>
      </c>
      <c r="J177" s="76">
        <f>0.31633+0.00617</f>
        <v>0.32250000000000001</v>
      </c>
      <c r="K177" s="76">
        <v>0.31949</v>
      </c>
      <c r="L177" s="76">
        <v>0.33492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5"/>
      <c r="B178" s="131"/>
      <c r="C178" s="135"/>
      <c r="D178" s="145"/>
      <c r="E178" s="26" t="s">
        <v>58</v>
      </c>
      <c r="F178" s="13">
        <f t="shared" si="58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3" t="s">
        <v>104</v>
      </c>
      <c r="B179" s="107" t="s">
        <v>125</v>
      </c>
      <c r="C179" s="110" t="s">
        <v>162</v>
      </c>
      <c r="D179" s="104" t="s">
        <v>161</v>
      </c>
      <c r="E179" s="26" t="s">
        <v>47</v>
      </c>
      <c r="F179" s="13">
        <f t="shared" si="58"/>
        <v>983.92</v>
      </c>
      <c r="G179" s="14">
        <f t="shared" ref="G179" si="65">SUM(G180:G184)</f>
        <v>475.89</v>
      </c>
      <c r="H179" s="14">
        <f>SUM(H180:H184)</f>
        <v>356.5</v>
      </c>
      <c r="I179" s="14">
        <f t="shared" ref="I179:J179" si="66">SUM(I180:I184)</f>
        <v>151.53</v>
      </c>
      <c r="J179" s="14">
        <f t="shared" si="66"/>
        <v>0</v>
      </c>
      <c r="K179" s="14">
        <f t="shared" ref="K179:L179" si="67">SUM(K180:K184)</f>
        <v>0</v>
      </c>
      <c r="L179" s="14">
        <f t="shared" si="67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4"/>
      <c r="B180" s="130"/>
      <c r="C180" s="111"/>
      <c r="D180" s="144"/>
      <c r="E180" s="26" t="s">
        <v>55</v>
      </c>
      <c r="F180" s="13">
        <f t="shared" si="58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4"/>
      <c r="B181" s="130"/>
      <c r="C181" s="111"/>
      <c r="D181" s="144"/>
      <c r="E181" s="25" t="s">
        <v>168</v>
      </c>
      <c r="F181" s="13">
        <f t="shared" si="58"/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4"/>
      <c r="B182" s="130"/>
      <c r="C182" s="111"/>
      <c r="D182" s="144"/>
      <c r="E182" s="26" t="s">
        <v>56</v>
      </c>
      <c r="F182" s="13">
        <f t="shared" si="58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4"/>
      <c r="B183" s="130"/>
      <c r="C183" s="111"/>
      <c r="D183" s="144"/>
      <c r="E183" s="26" t="s">
        <v>57</v>
      </c>
      <c r="F183" s="13">
        <f t="shared" si="58"/>
        <v>983.92</v>
      </c>
      <c r="G183" s="17">
        <f>475.89</f>
        <v>475.89</v>
      </c>
      <c r="H183" s="16">
        <v>356.5</v>
      </c>
      <c r="I183" s="16">
        <v>151.53</v>
      </c>
      <c r="J183" s="16"/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5"/>
      <c r="B184" s="131"/>
      <c r="C184" s="112"/>
      <c r="D184" s="145"/>
      <c r="E184" s="26" t="s">
        <v>58</v>
      </c>
      <c r="F184" s="13">
        <f t="shared" si="58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3" t="s">
        <v>124</v>
      </c>
      <c r="B185" s="107" t="s">
        <v>129</v>
      </c>
      <c r="C185" s="160">
        <v>2023</v>
      </c>
      <c r="D185" s="104" t="s">
        <v>87</v>
      </c>
      <c r="E185" s="26" t="s">
        <v>47</v>
      </c>
      <c r="F185" s="13">
        <f t="shared" si="58"/>
        <v>5000</v>
      </c>
      <c r="G185" s="14">
        <f t="shared" ref="G185" si="68">SUM(G186:G190)</f>
        <v>0</v>
      </c>
      <c r="H185" s="14">
        <f>SUM(H186:H190)</f>
        <v>5000</v>
      </c>
      <c r="I185" s="14">
        <f t="shared" ref="I185:J185" si="69">SUM(I186:I190)</f>
        <v>0</v>
      </c>
      <c r="J185" s="14">
        <f t="shared" si="69"/>
        <v>0</v>
      </c>
      <c r="K185" s="14">
        <f t="shared" ref="K185:L185" si="70">SUM(K186:K190)</f>
        <v>0</v>
      </c>
      <c r="L185" s="14">
        <f t="shared" si="70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4"/>
      <c r="B186" s="130"/>
      <c r="C186" s="161"/>
      <c r="D186" s="144"/>
      <c r="E186" s="26" t="s">
        <v>55</v>
      </c>
      <c r="F186" s="13">
        <f t="shared" si="58"/>
        <v>5000</v>
      </c>
      <c r="G186" s="16">
        <v>0</v>
      </c>
      <c r="H186" s="74">
        <v>5000</v>
      </c>
      <c r="I186" s="74"/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4"/>
      <c r="B187" s="130"/>
      <c r="C187" s="161"/>
      <c r="D187" s="144"/>
      <c r="E187" s="25" t="s">
        <v>168</v>
      </c>
      <c r="F187" s="13">
        <f t="shared" ref="F187:F218" si="71"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4"/>
      <c r="B188" s="130"/>
      <c r="C188" s="161"/>
      <c r="D188" s="144"/>
      <c r="E188" s="26" t="s">
        <v>56</v>
      </c>
      <c r="F188" s="13">
        <f t="shared" si="71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4"/>
      <c r="B189" s="130"/>
      <c r="C189" s="161"/>
      <c r="D189" s="144"/>
      <c r="E189" s="26" t="s">
        <v>57</v>
      </c>
      <c r="F189" s="13">
        <f t="shared" si="71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5"/>
      <c r="B190" s="131"/>
      <c r="C190" s="162"/>
      <c r="D190" s="145"/>
      <c r="E190" s="26" t="s">
        <v>58</v>
      </c>
      <c r="F190" s="13">
        <f t="shared" si="71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3" t="s">
        <v>78</v>
      </c>
      <c r="B191" s="113" t="s">
        <v>85</v>
      </c>
      <c r="C191" s="110" t="s">
        <v>187</v>
      </c>
      <c r="D191" s="104" t="s">
        <v>180</v>
      </c>
      <c r="E191" s="26" t="s">
        <v>47</v>
      </c>
      <c r="F191" s="13">
        <f t="shared" si="71"/>
        <v>131449.61246</v>
      </c>
      <c r="G191" s="14">
        <f>G197+G209+G215+G203+G221+G227</f>
        <v>57907.921260000003</v>
      </c>
      <c r="H191" s="14">
        <f>H197+H209+H215+H203+H221+H227+H233+H239+H246+H253</f>
        <v>9023.2910799999991</v>
      </c>
      <c r="I191" s="14">
        <f>I197+I209+I215+I203+I221+I227+I233+I239+I246+I253</f>
        <v>26985.044800000003</v>
      </c>
      <c r="J191" s="14">
        <f>J197+J209+J246+J260+J267</f>
        <v>26884.408499999998</v>
      </c>
      <c r="K191" s="73">
        <f>K260</f>
        <v>10648.946820000001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4"/>
      <c r="B192" s="114"/>
      <c r="C192" s="111"/>
      <c r="D192" s="152"/>
      <c r="E192" s="26" t="s">
        <v>55</v>
      </c>
      <c r="F192" s="13">
        <f t="shared" si="71"/>
        <v>32780.1</v>
      </c>
      <c r="G192" s="14">
        <f t="shared" ref="G192:H192" si="72">G198+G210+G216+G204+G222+G228</f>
        <v>21</v>
      </c>
      <c r="H192" s="14">
        <f t="shared" si="72"/>
        <v>0</v>
      </c>
      <c r="I192" s="14">
        <f>I198+I210+I216+I204+I222+I228+I234+I240+I247+I254</f>
        <v>7</v>
      </c>
      <c r="J192" s="14">
        <f>J261+J268</f>
        <v>22752.1</v>
      </c>
      <c r="K192" s="73">
        <f>K261</f>
        <v>10000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4"/>
      <c r="B193" s="114"/>
      <c r="C193" s="111"/>
      <c r="D193" s="152"/>
      <c r="E193" s="25" t="s">
        <v>168</v>
      </c>
      <c r="F193" s="13">
        <f t="shared" si="71"/>
        <v>10565.45397</v>
      </c>
      <c r="G193" s="14">
        <v>0</v>
      </c>
      <c r="H193" s="14">
        <v>0</v>
      </c>
      <c r="I193" s="14">
        <f>I241</f>
        <v>10565.45397</v>
      </c>
      <c r="J193" s="14">
        <f>J199+J205+J211+J217+J223+J229+J235+J241</f>
        <v>0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4"/>
      <c r="B194" s="114"/>
      <c r="C194" s="111"/>
      <c r="D194" s="152"/>
      <c r="E194" s="26" t="s">
        <v>56</v>
      </c>
      <c r="F194" s="13">
        <f t="shared" si="71"/>
        <v>29702.593580000001</v>
      </c>
      <c r="G194" s="14">
        <f t="shared" ref="G194" si="73">G200+G212+G218+G206+G224+G230</f>
        <v>13350.20126</v>
      </c>
      <c r="H194" s="14">
        <f>H200+H212+H218+H206+H224+H230</f>
        <v>679.34127999999998</v>
      </c>
      <c r="I194" s="14">
        <f>I200+I212+I218+I206+I224+I230+I236+I242+I249+I256</f>
        <v>13837.274220000001</v>
      </c>
      <c r="J194" s="14">
        <f>J263+J270</f>
        <v>1197.4789500000002</v>
      </c>
      <c r="K194" s="73">
        <f>K263</f>
        <v>638.29786999999999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4"/>
      <c r="B195" s="114"/>
      <c r="C195" s="111"/>
      <c r="D195" s="152"/>
      <c r="E195" s="26" t="s">
        <v>57</v>
      </c>
      <c r="F195" s="13">
        <f t="shared" si="71"/>
        <v>58401.46491000001</v>
      </c>
      <c r="G195" s="14">
        <f t="shared" ref="G195" si="74">G201+G213+G219+G207+G225+G231</f>
        <v>44536.72</v>
      </c>
      <c r="H195" s="14">
        <f>H201+H213+H219+H207+H225+H231+H237+H243+H250+H257</f>
        <v>8343.9497999999985</v>
      </c>
      <c r="I195" s="14">
        <f>I201+I213+I219+I207+I225+I231+I237+I243+I250+I257</f>
        <v>2575.3166099999999</v>
      </c>
      <c r="J195" s="14">
        <f>J213+J250+J264+J271</f>
        <v>2934.8295499999999</v>
      </c>
      <c r="K195" s="73">
        <f>K264</f>
        <v>10.648949999999999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103.5" customHeight="1">
      <c r="A196" s="115"/>
      <c r="B196" s="115"/>
      <c r="C196" s="112"/>
      <c r="D196" s="153"/>
      <c r="E196" s="26" t="s">
        <v>58</v>
      </c>
      <c r="F196" s="13">
        <f t="shared" si="71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4" t="s">
        <v>25</v>
      </c>
      <c r="B197" s="107" t="s">
        <v>108</v>
      </c>
      <c r="C197" s="110" t="s">
        <v>170</v>
      </c>
      <c r="D197" s="104" t="s">
        <v>176</v>
      </c>
      <c r="E197" s="26" t="s">
        <v>47</v>
      </c>
      <c r="F197" s="13">
        <f t="shared" si="71"/>
        <v>29.481060000000003</v>
      </c>
      <c r="G197" s="14">
        <f t="shared" ref="G197:L197" si="75">G198+G200+G201+G202</f>
        <v>22.105260000000001</v>
      </c>
      <c r="H197" s="14">
        <f t="shared" si="75"/>
        <v>0</v>
      </c>
      <c r="I197" s="14">
        <f t="shared" si="75"/>
        <v>7.3758000000000008</v>
      </c>
      <c r="J197" s="14">
        <f t="shared" si="75"/>
        <v>0</v>
      </c>
      <c r="K197" s="14">
        <f t="shared" si="75"/>
        <v>0</v>
      </c>
      <c r="L197" s="14">
        <f t="shared" si="75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5"/>
      <c r="B198" s="108"/>
      <c r="C198" s="111"/>
      <c r="D198" s="152"/>
      <c r="E198" s="26" t="s">
        <v>55</v>
      </c>
      <c r="F198" s="13">
        <f t="shared" si="71"/>
        <v>28</v>
      </c>
      <c r="G198" s="16">
        <v>21</v>
      </c>
      <c r="H198" s="16"/>
      <c r="I198" s="16">
        <v>7</v>
      </c>
      <c r="J198" s="16"/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5"/>
      <c r="B199" s="108"/>
      <c r="C199" s="111"/>
      <c r="D199" s="152"/>
      <c r="E199" s="25" t="s">
        <v>168</v>
      </c>
      <c r="F199" s="13">
        <f t="shared" si="71"/>
        <v>0</v>
      </c>
      <c r="G199" s="16">
        <v>0</v>
      </c>
      <c r="H199" s="16"/>
      <c r="I199" s="16">
        <v>0</v>
      </c>
      <c r="J199" s="16"/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5"/>
      <c r="B200" s="108"/>
      <c r="C200" s="111"/>
      <c r="D200" s="152"/>
      <c r="E200" s="26" t="s">
        <v>56</v>
      </c>
      <c r="F200" s="13">
        <f t="shared" si="71"/>
        <v>1.4736799999999999</v>
      </c>
      <c r="G200" s="16">
        <v>1.1052599999999999</v>
      </c>
      <c r="H200" s="16"/>
      <c r="I200" s="16">
        <v>0.36842000000000003</v>
      </c>
      <c r="J200" s="16"/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5"/>
      <c r="B201" s="108"/>
      <c r="C201" s="111"/>
      <c r="D201" s="152"/>
      <c r="E201" s="26" t="s">
        <v>57</v>
      </c>
      <c r="F201" s="13">
        <f t="shared" si="71"/>
        <v>7.3800000000000003E-3</v>
      </c>
      <c r="G201" s="16">
        <v>0</v>
      </c>
      <c r="H201" s="16">
        <v>0</v>
      </c>
      <c r="I201" s="16">
        <v>7.3800000000000003E-3</v>
      </c>
      <c r="J201" s="16"/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6"/>
      <c r="B202" s="109"/>
      <c r="C202" s="112"/>
      <c r="D202" s="153"/>
      <c r="E202" s="26" t="s">
        <v>58</v>
      </c>
      <c r="F202" s="13">
        <f t="shared" si="71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4" t="s">
        <v>26</v>
      </c>
      <c r="B203" s="107" t="s">
        <v>126</v>
      </c>
      <c r="C203" s="110">
        <v>2022</v>
      </c>
      <c r="D203" s="104" t="s">
        <v>90</v>
      </c>
      <c r="E203" s="26" t="s">
        <v>47</v>
      </c>
      <c r="F203" s="13">
        <f t="shared" si="71"/>
        <v>14051.68</v>
      </c>
      <c r="G203" s="14">
        <f>G204+G206+G207+G208</f>
        <v>14051.68</v>
      </c>
      <c r="H203" s="14">
        <f>H204+H206+H207+H208</f>
        <v>0</v>
      </c>
      <c r="I203" s="14">
        <f>I204+I206+I207+I208</f>
        <v>0</v>
      </c>
      <c r="J203" s="14">
        <f>J204+J206+J207+J208</f>
        <v>0</v>
      </c>
      <c r="K203" s="14">
        <f t="shared" ref="K203:L203" si="76">K204+K206+K207+K208</f>
        <v>0</v>
      </c>
      <c r="L203" s="14">
        <f t="shared" si="76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5"/>
      <c r="B204" s="108"/>
      <c r="C204" s="111"/>
      <c r="D204" s="154"/>
      <c r="E204" s="26" t="s">
        <v>55</v>
      </c>
      <c r="F204" s="13">
        <f t="shared" si="71"/>
        <v>0</v>
      </c>
      <c r="G204" s="17"/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5"/>
      <c r="B205" s="108"/>
      <c r="C205" s="111"/>
      <c r="D205" s="154"/>
      <c r="E205" s="25" t="s">
        <v>168</v>
      </c>
      <c r="F205" s="13">
        <f t="shared" si="71"/>
        <v>0</v>
      </c>
      <c r="G205" s="16"/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5"/>
      <c r="B206" s="108"/>
      <c r="C206" s="111"/>
      <c r="D206" s="154"/>
      <c r="E206" s="26" t="s">
        <v>56</v>
      </c>
      <c r="F206" s="13">
        <f t="shared" si="71"/>
        <v>13349.096</v>
      </c>
      <c r="G206" s="17">
        <v>13349.096</v>
      </c>
      <c r="H206" s="17"/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5"/>
      <c r="B207" s="108"/>
      <c r="C207" s="111"/>
      <c r="D207" s="154"/>
      <c r="E207" s="26" t="s">
        <v>57</v>
      </c>
      <c r="F207" s="13">
        <f t="shared" si="71"/>
        <v>702.58399999999995</v>
      </c>
      <c r="G207" s="17">
        <v>702.58399999999995</v>
      </c>
      <c r="H207" s="17"/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6"/>
      <c r="B208" s="109"/>
      <c r="C208" s="112"/>
      <c r="D208" s="155"/>
      <c r="E208" s="26" t="s">
        <v>58</v>
      </c>
      <c r="F208" s="13">
        <f t="shared" si="7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4" t="s">
        <v>27</v>
      </c>
      <c r="B209" s="107" t="s">
        <v>134</v>
      </c>
      <c r="C209" s="110" t="s">
        <v>187</v>
      </c>
      <c r="D209" s="104" t="s">
        <v>173</v>
      </c>
      <c r="E209" s="26" t="s">
        <v>47</v>
      </c>
      <c r="F209" s="13">
        <f t="shared" si="71"/>
        <v>42064.468999999997</v>
      </c>
      <c r="G209" s="14">
        <f t="shared" ref="G209:H209" si="77">G210+G212+G213+G214</f>
        <v>31058.942999999999</v>
      </c>
      <c r="H209" s="14">
        <f t="shared" si="77"/>
        <v>6808.1949999999997</v>
      </c>
      <c r="I209" s="14">
        <f>I210+I212+I213+I214</f>
        <v>1536.4749999999999</v>
      </c>
      <c r="J209" s="14">
        <f t="shared" ref="J209:L209" si="78">J210+J212+J213+J214</f>
        <v>2660.8559999999998</v>
      </c>
      <c r="K209" s="73">
        <f t="shared" si="78"/>
        <v>0</v>
      </c>
      <c r="L209" s="73">
        <f t="shared" si="78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5"/>
      <c r="B210" s="108"/>
      <c r="C210" s="111"/>
      <c r="D210" s="152"/>
      <c r="E210" s="26" t="s">
        <v>55</v>
      </c>
      <c r="F210" s="13">
        <f t="shared" si="71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5"/>
      <c r="B211" s="108"/>
      <c r="C211" s="111"/>
      <c r="D211" s="152"/>
      <c r="E211" s="25" t="s">
        <v>168</v>
      </c>
      <c r="F211" s="13">
        <f t="shared" si="71"/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5"/>
      <c r="B212" s="108"/>
      <c r="C212" s="111"/>
      <c r="D212" s="152"/>
      <c r="E212" s="26" t="s">
        <v>56</v>
      </c>
      <c r="F212" s="13">
        <f t="shared" si="71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5"/>
      <c r="B213" s="108"/>
      <c r="C213" s="111"/>
      <c r="D213" s="152"/>
      <c r="E213" s="26" t="s">
        <v>57</v>
      </c>
      <c r="F213" s="13">
        <f t="shared" si="71"/>
        <v>42064.468999999997</v>
      </c>
      <c r="G213" s="17">
        <v>31058.942999999999</v>
      </c>
      <c r="H213" s="17">
        <f>6808.195</f>
        <v>6808.1949999999997</v>
      </c>
      <c r="I213" s="17">
        <v>1536.4749999999999</v>
      </c>
      <c r="J213" s="17">
        <f>160.856+2500</f>
        <v>2660.8559999999998</v>
      </c>
      <c r="K213" s="17">
        <v>0</v>
      </c>
      <c r="L213" s="17">
        <v>0</v>
      </c>
      <c r="M213" s="37" t="s">
        <v>196</v>
      </c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6"/>
      <c r="B214" s="109"/>
      <c r="C214" s="112"/>
      <c r="D214" s="153"/>
      <c r="E214" s="26" t="s">
        <v>58</v>
      </c>
      <c r="F214" s="13">
        <f t="shared" si="71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4" t="s">
        <v>28</v>
      </c>
      <c r="B215" s="119" t="s">
        <v>163</v>
      </c>
      <c r="C215" s="110">
        <v>2022</v>
      </c>
      <c r="D215" s="104" t="s">
        <v>82</v>
      </c>
      <c r="E215" s="26" t="s">
        <v>47</v>
      </c>
      <c r="F215" s="13">
        <f t="shared" si="71"/>
        <v>5971.5479999999998</v>
      </c>
      <c r="G215" s="14">
        <f>G216+G218+G219+G220</f>
        <v>5971.5479999999998</v>
      </c>
      <c r="H215" s="14">
        <f t="shared" ref="H215:L215" si="79">H216+H218+H219+H220</f>
        <v>0</v>
      </c>
      <c r="I215" s="14">
        <f t="shared" si="79"/>
        <v>0</v>
      </c>
      <c r="J215" s="14">
        <f t="shared" si="79"/>
        <v>0</v>
      </c>
      <c r="K215" s="14">
        <f t="shared" si="79"/>
        <v>0</v>
      </c>
      <c r="L215" s="14">
        <f t="shared" si="79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5"/>
      <c r="B216" s="108"/>
      <c r="C216" s="111"/>
      <c r="D216" s="154"/>
      <c r="E216" s="26" t="s">
        <v>55</v>
      </c>
      <c r="F216" s="13">
        <f t="shared" si="71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5"/>
      <c r="B217" s="108"/>
      <c r="C217" s="111"/>
      <c r="D217" s="154"/>
      <c r="E217" s="25" t="s">
        <v>168</v>
      </c>
      <c r="F217" s="13">
        <f t="shared" si="71"/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5"/>
      <c r="B218" s="108"/>
      <c r="C218" s="111"/>
      <c r="D218" s="154"/>
      <c r="E218" s="26" t="s">
        <v>56</v>
      </c>
      <c r="F218" s="13">
        <f t="shared" si="71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5"/>
      <c r="B219" s="108"/>
      <c r="C219" s="111"/>
      <c r="D219" s="154"/>
      <c r="E219" s="26" t="s">
        <v>57</v>
      </c>
      <c r="F219" s="13">
        <f t="shared" ref="F219:F237" si="80">G219+H219+I219+J219+K219+L219</f>
        <v>5971.5479999999998</v>
      </c>
      <c r="G219" s="17">
        <v>5971.5479999999998</v>
      </c>
      <c r="H219" s="17"/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6"/>
      <c r="B220" s="109"/>
      <c r="C220" s="112"/>
      <c r="D220" s="155"/>
      <c r="E220" s="26" t="s">
        <v>58</v>
      </c>
      <c r="F220" s="13">
        <f t="shared" si="80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4" t="s">
        <v>96</v>
      </c>
      <c r="B221" s="146" t="s">
        <v>139</v>
      </c>
      <c r="C221" s="149">
        <v>2022</v>
      </c>
      <c r="D221" s="104" t="s">
        <v>88</v>
      </c>
      <c r="E221" s="26" t="s">
        <v>47</v>
      </c>
      <c r="F221" s="13">
        <f t="shared" si="80"/>
        <v>6803.6450000000004</v>
      </c>
      <c r="G221" s="14">
        <f>G222+G224+G225+G226</f>
        <v>6803.6450000000004</v>
      </c>
      <c r="H221" s="14">
        <f>H222+H224+H225+H226</f>
        <v>0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5"/>
      <c r="B222" s="147"/>
      <c r="C222" s="150"/>
      <c r="D222" s="105"/>
      <c r="E222" s="26" t="s">
        <v>55</v>
      </c>
      <c r="F222" s="13">
        <f t="shared" si="80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5"/>
      <c r="B223" s="147"/>
      <c r="C223" s="150"/>
      <c r="D223" s="105"/>
      <c r="E223" s="25" t="s">
        <v>168</v>
      </c>
      <c r="F223" s="13">
        <f t="shared" si="80"/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5"/>
      <c r="B224" s="147"/>
      <c r="C224" s="150"/>
      <c r="D224" s="105"/>
      <c r="E224" s="26" t="s">
        <v>56</v>
      </c>
      <c r="F224" s="13">
        <f t="shared" si="80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5"/>
      <c r="B225" s="147"/>
      <c r="C225" s="150"/>
      <c r="D225" s="105"/>
      <c r="E225" s="26" t="s">
        <v>57</v>
      </c>
      <c r="F225" s="13">
        <f t="shared" si="80"/>
        <v>6803.6450000000004</v>
      </c>
      <c r="G225" s="17">
        <v>6803.6450000000004</v>
      </c>
      <c r="H225" s="17"/>
      <c r="I225" s="17">
        <v>0</v>
      </c>
      <c r="J225" s="17">
        <v>0</v>
      </c>
      <c r="K225" s="17">
        <v>0</v>
      </c>
      <c r="L225" s="17">
        <v>0</v>
      </c>
      <c r="M225" s="37" t="s">
        <v>131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6"/>
      <c r="B226" s="148"/>
      <c r="C226" s="151"/>
      <c r="D226" s="106"/>
      <c r="E226" s="26" t="s">
        <v>58</v>
      </c>
      <c r="F226" s="13">
        <f t="shared" si="80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4" t="s">
        <v>107</v>
      </c>
      <c r="B227" s="107" t="s">
        <v>109</v>
      </c>
      <c r="C227" s="110">
        <v>2023</v>
      </c>
      <c r="D227" s="104" t="s">
        <v>132</v>
      </c>
      <c r="E227" s="26" t="s">
        <v>47</v>
      </c>
      <c r="F227" s="13">
        <f t="shared" si="80"/>
        <v>715.09608000000003</v>
      </c>
      <c r="G227" s="14">
        <f>G228+G230+G231+G232</f>
        <v>0</v>
      </c>
      <c r="H227" s="14">
        <f>H228+H230+H231+H232</f>
        <v>715.09608000000003</v>
      </c>
      <c r="I227" s="14">
        <f>I228+I230+I231+I232</f>
        <v>0</v>
      </c>
      <c r="J227" s="14">
        <f>J228+J230+J231+J232</f>
        <v>0</v>
      </c>
      <c r="K227" s="14">
        <f t="shared" ref="K227:L227" si="81">K228+K230+K231+K232</f>
        <v>0</v>
      </c>
      <c r="L227" s="14">
        <f t="shared" si="81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5"/>
      <c r="B228" s="108"/>
      <c r="C228" s="111"/>
      <c r="D228" s="152"/>
      <c r="E228" s="26" t="s">
        <v>55</v>
      </c>
      <c r="F228" s="13">
        <f t="shared" si="80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5"/>
      <c r="B229" s="108"/>
      <c r="C229" s="111"/>
      <c r="D229" s="152"/>
      <c r="E229" s="25" t="s">
        <v>168</v>
      </c>
      <c r="F229" s="13">
        <f t="shared" si="80"/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5"/>
      <c r="B230" s="108"/>
      <c r="C230" s="111"/>
      <c r="D230" s="152"/>
      <c r="E230" s="26" t="s">
        <v>56</v>
      </c>
      <c r="F230" s="13">
        <f t="shared" si="80"/>
        <v>679.34127999999998</v>
      </c>
      <c r="G230" s="16">
        <v>0</v>
      </c>
      <c r="H230" s="27">
        <v>679.34127999999998</v>
      </c>
      <c r="I230" s="27"/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5"/>
      <c r="B231" s="108"/>
      <c r="C231" s="111"/>
      <c r="D231" s="152"/>
      <c r="E231" s="26" t="s">
        <v>57</v>
      </c>
      <c r="F231" s="13">
        <f t="shared" si="80"/>
        <v>35.754800000000003</v>
      </c>
      <c r="G231" s="16">
        <v>0</v>
      </c>
      <c r="H231" s="27">
        <v>35.754800000000003</v>
      </c>
      <c r="I231" s="27"/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6"/>
      <c r="B232" s="109"/>
      <c r="C232" s="112"/>
      <c r="D232" s="153"/>
      <c r="E232" s="26" t="s">
        <v>58</v>
      </c>
      <c r="F232" s="13">
        <f t="shared" si="80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4" t="s">
        <v>135</v>
      </c>
      <c r="B233" s="107" t="s">
        <v>136</v>
      </c>
      <c r="C233" s="110">
        <v>2023</v>
      </c>
      <c r="D233" s="104" t="s">
        <v>137</v>
      </c>
      <c r="E233" s="26" t="s">
        <v>47</v>
      </c>
      <c r="F233" s="13">
        <f t="shared" si="80"/>
        <v>1500</v>
      </c>
      <c r="G233" s="14">
        <f>G234+G236+G237+G238</f>
        <v>0</v>
      </c>
      <c r="H233" s="14">
        <f>H234+H236+H237+H238</f>
        <v>1500</v>
      </c>
      <c r="I233" s="14">
        <f>I234+I236+I237+I238</f>
        <v>0</v>
      </c>
      <c r="J233" s="14">
        <f>J234+J236+J237+J238</f>
        <v>0</v>
      </c>
      <c r="K233" s="14">
        <f t="shared" ref="K233:L233" si="82">K234+K236+K237+K238</f>
        <v>0</v>
      </c>
      <c r="L233" s="14">
        <f t="shared" si="82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5"/>
      <c r="B234" s="108"/>
      <c r="C234" s="111"/>
      <c r="D234" s="152"/>
      <c r="E234" s="26" t="s">
        <v>55</v>
      </c>
      <c r="F234" s="13">
        <f t="shared" si="80"/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5"/>
      <c r="B235" s="108"/>
      <c r="C235" s="111"/>
      <c r="D235" s="152"/>
      <c r="E235" s="25" t="s">
        <v>168</v>
      </c>
      <c r="F235" s="13">
        <f t="shared" si="80"/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5"/>
      <c r="B236" s="108"/>
      <c r="C236" s="111"/>
      <c r="D236" s="152"/>
      <c r="E236" s="26" t="s">
        <v>56</v>
      </c>
      <c r="F236" s="13">
        <f t="shared" si="80"/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5"/>
      <c r="B237" s="108"/>
      <c r="C237" s="111"/>
      <c r="D237" s="152"/>
      <c r="E237" s="26" t="s">
        <v>57</v>
      </c>
      <c r="F237" s="13">
        <f t="shared" si="80"/>
        <v>1500</v>
      </c>
      <c r="G237" s="16">
        <v>0</v>
      </c>
      <c r="H237" s="27">
        <v>1500</v>
      </c>
      <c r="I237" s="27"/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6"/>
      <c r="B238" s="109"/>
      <c r="C238" s="112"/>
      <c r="D238" s="153"/>
      <c r="E238" s="26" t="s">
        <v>58</v>
      </c>
      <c r="F238" s="13">
        <f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4" t="s">
        <v>166</v>
      </c>
      <c r="B239" s="107" t="s">
        <v>167</v>
      </c>
      <c r="C239" s="110">
        <v>2024</v>
      </c>
      <c r="D239" s="104" t="s">
        <v>132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I240+I241+I242+I243</f>
        <v>10576.03</v>
      </c>
      <c r="J239" s="14">
        <f>J240+J241+J242+J243+J244</f>
        <v>0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5"/>
      <c r="B240" s="108"/>
      <c r="C240" s="111"/>
      <c r="D240" s="152"/>
      <c r="E240" s="26" t="s">
        <v>55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5"/>
      <c r="B241" s="108"/>
      <c r="C241" s="111"/>
      <c r="D241" s="152"/>
      <c r="E241" s="25" t="s">
        <v>168</v>
      </c>
      <c r="F241" s="13">
        <f>G241+H241+I241+J241+K241+L241</f>
        <v>10565.45397</v>
      </c>
      <c r="G241" s="16">
        <v>0</v>
      </c>
      <c r="H241" s="16">
        <v>0</v>
      </c>
      <c r="I241" s="16">
        <v>10565.45397</v>
      </c>
      <c r="J241" s="16"/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5"/>
      <c r="B242" s="108"/>
      <c r="C242" s="111"/>
      <c r="D242" s="152"/>
      <c r="E242" s="26" t="s">
        <v>56</v>
      </c>
      <c r="F242" s="13">
        <f>G242+H242+I242+J242+K242+L242</f>
        <v>0</v>
      </c>
      <c r="G242" s="16">
        <v>0</v>
      </c>
      <c r="H242" s="16">
        <v>0</v>
      </c>
      <c r="I242" s="16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5"/>
      <c r="B243" s="108"/>
      <c r="C243" s="111"/>
      <c r="D243" s="152"/>
      <c r="E243" s="26" t="s">
        <v>57</v>
      </c>
      <c r="F243" s="13">
        <f>G243+H243+I243+J243+K243+L243</f>
        <v>10.576029999999999</v>
      </c>
      <c r="G243" s="16">
        <v>0</v>
      </c>
      <c r="H243" s="16">
        <v>0</v>
      </c>
      <c r="I243" s="16">
        <v>10.576029999999999</v>
      </c>
      <c r="J243" s="16"/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5"/>
      <c r="B244" s="108"/>
      <c r="C244" s="111"/>
      <c r="D244" s="152"/>
      <c r="E244" s="160" t="s">
        <v>58</v>
      </c>
      <c r="F244" s="163">
        <f>G244+H244+I244+J244+K244</f>
        <v>0</v>
      </c>
      <c r="G244" s="165">
        <v>0</v>
      </c>
      <c r="H244" s="165">
        <v>0</v>
      </c>
      <c r="I244" s="165">
        <v>0</v>
      </c>
      <c r="J244" s="165">
        <v>0</v>
      </c>
      <c r="K244" s="165">
        <v>0</v>
      </c>
      <c r="L244" s="165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6"/>
      <c r="B245" s="109"/>
      <c r="C245" s="112"/>
      <c r="D245" s="153"/>
      <c r="E245" s="162"/>
      <c r="F245" s="164"/>
      <c r="G245" s="166"/>
      <c r="H245" s="166"/>
      <c r="I245" s="166"/>
      <c r="J245" s="166"/>
      <c r="K245" s="166"/>
      <c r="L245" s="166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4" t="s">
        <v>174</v>
      </c>
      <c r="B246" s="107" t="s">
        <v>175</v>
      </c>
      <c r="C246" s="110" t="s">
        <v>194</v>
      </c>
      <c r="D246" s="104" t="s">
        <v>132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300</v>
      </c>
      <c r="J246" s="14">
        <f>J247+J248+J249+J250+J251</f>
        <v>250</v>
      </c>
      <c r="K246" s="14">
        <f>K247+K249+K250+K251</f>
        <v>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5"/>
      <c r="B247" s="108"/>
      <c r="C247" s="111"/>
      <c r="D247" s="152"/>
      <c r="E247" s="26" t="s">
        <v>55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5"/>
      <c r="B248" s="108"/>
      <c r="C248" s="111"/>
      <c r="D248" s="152"/>
      <c r="E248" s="25" t="s">
        <v>168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5"/>
      <c r="B249" s="108"/>
      <c r="C249" s="111"/>
      <c r="D249" s="152"/>
      <c r="E249" s="26" t="s">
        <v>56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5"/>
      <c r="B250" s="108"/>
      <c r="C250" s="111"/>
      <c r="D250" s="152"/>
      <c r="E250" s="26" t="s">
        <v>57</v>
      </c>
      <c r="F250" s="13">
        <f>G250+H250+I250+J250+K250+L250</f>
        <v>550</v>
      </c>
      <c r="G250" s="16">
        <v>0</v>
      </c>
      <c r="H250" s="16">
        <v>0</v>
      </c>
      <c r="I250" s="16">
        <v>300</v>
      </c>
      <c r="J250" s="16">
        <v>250</v>
      </c>
      <c r="K250" s="16">
        <v>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5"/>
      <c r="B251" s="108"/>
      <c r="C251" s="111"/>
      <c r="D251" s="152"/>
      <c r="E251" s="160" t="s">
        <v>58</v>
      </c>
      <c r="F251" s="163">
        <f>G251+H251+I251+J251+K251</f>
        <v>0</v>
      </c>
      <c r="G251" s="165">
        <v>0</v>
      </c>
      <c r="H251" s="165">
        <v>0</v>
      </c>
      <c r="I251" s="165">
        <v>0</v>
      </c>
      <c r="J251" s="165">
        <v>0</v>
      </c>
      <c r="K251" s="165">
        <v>0</v>
      </c>
      <c r="L251" s="165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6"/>
      <c r="B252" s="109"/>
      <c r="C252" s="112"/>
      <c r="D252" s="153"/>
      <c r="E252" s="162"/>
      <c r="F252" s="164"/>
      <c r="G252" s="166"/>
      <c r="H252" s="166"/>
      <c r="I252" s="166"/>
      <c r="J252" s="166"/>
      <c r="K252" s="166"/>
      <c r="L252" s="166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4" t="s">
        <v>177</v>
      </c>
      <c r="B253" s="107" t="s">
        <v>178</v>
      </c>
      <c r="C253" s="110">
        <v>2024</v>
      </c>
      <c r="D253" s="104" t="s">
        <v>148</v>
      </c>
      <c r="E253" s="26" t="s">
        <v>47</v>
      </c>
      <c r="F253" s="13">
        <f>G253+H253+I253+J253+K253+L253</f>
        <v>14565.164000000001</v>
      </c>
      <c r="G253" s="14">
        <f>G254+G256+G257+G258</f>
        <v>0</v>
      </c>
      <c r="H253" s="14">
        <f>H254+H256+H257+H258</f>
        <v>0</v>
      </c>
      <c r="I253" s="14">
        <f>I254+I256+I257+I258</f>
        <v>14565.164000000001</v>
      </c>
      <c r="J253" s="14">
        <f>J254+J255+J256+J257+J258</f>
        <v>0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5"/>
      <c r="B254" s="108"/>
      <c r="C254" s="111"/>
      <c r="D254" s="152"/>
      <c r="E254" s="26" t="s">
        <v>55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5"/>
      <c r="B255" s="108"/>
      <c r="C255" s="111"/>
      <c r="D255" s="152"/>
      <c r="E255" s="25" t="s">
        <v>168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5"/>
      <c r="B256" s="108"/>
      <c r="C256" s="111"/>
      <c r="D256" s="152"/>
      <c r="E256" s="26" t="s">
        <v>56</v>
      </c>
      <c r="F256" s="13">
        <f>G256+H256+I256+J256+K256+L256</f>
        <v>13836.9058</v>
      </c>
      <c r="G256" s="16">
        <v>0</v>
      </c>
      <c r="H256" s="16">
        <v>0</v>
      </c>
      <c r="I256" s="16">
        <v>13836.9058</v>
      </c>
      <c r="J256" s="16"/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5"/>
      <c r="B257" s="108"/>
      <c r="C257" s="111"/>
      <c r="D257" s="152"/>
      <c r="E257" s="26" t="s">
        <v>57</v>
      </c>
      <c r="F257" s="13">
        <f>G257+H257+I257+J257+K257+L257</f>
        <v>728.25819999999999</v>
      </c>
      <c r="G257" s="16">
        <v>0</v>
      </c>
      <c r="H257" s="16">
        <v>0</v>
      </c>
      <c r="I257" s="16">
        <v>728.25819999999999</v>
      </c>
      <c r="J257" s="16"/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5"/>
      <c r="B258" s="108"/>
      <c r="C258" s="111"/>
      <c r="D258" s="152"/>
      <c r="E258" s="160" t="s">
        <v>58</v>
      </c>
      <c r="F258" s="163">
        <f>G258+H258+I258+J258+K258</f>
        <v>0</v>
      </c>
      <c r="G258" s="165">
        <v>0</v>
      </c>
      <c r="H258" s="165">
        <v>0</v>
      </c>
      <c r="I258" s="165">
        <v>0</v>
      </c>
      <c r="J258" s="165">
        <v>0</v>
      </c>
      <c r="K258" s="165">
        <v>0</v>
      </c>
      <c r="L258" s="165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6"/>
      <c r="B259" s="109"/>
      <c r="C259" s="112"/>
      <c r="D259" s="153"/>
      <c r="E259" s="162"/>
      <c r="F259" s="164"/>
      <c r="G259" s="166"/>
      <c r="H259" s="166"/>
      <c r="I259" s="166"/>
      <c r="J259" s="166"/>
      <c r="K259" s="166"/>
      <c r="L259" s="166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58" customFormat="1" ht="21.75" customHeight="1">
      <c r="A260" s="104" t="s">
        <v>197</v>
      </c>
      <c r="B260" s="107" t="s">
        <v>199</v>
      </c>
      <c r="C260" s="133" t="s">
        <v>200</v>
      </c>
      <c r="D260" s="104" t="s">
        <v>148</v>
      </c>
      <c r="E260" s="26" t="s">
        <v>47</v>
      </c>
      <c r="F260" s="13">
        <f>G260+H260+I260+J260+K260+L260</f>
        <v>21514.54926</v>
      </c>
      <c r="G260" s="14">
        <f>G261+G263+G264+G265</f>
        <v>0</v>
      </c>
      <c r="H260" s="14">
        <f>H261+H263+H264+H265</f>
        <v>0</v>
      </c>
      <c r="I260" s="14">
        <f>I261+I263+I264+I265</f>
        <v>0</v>
      </c>
      <c r="J260" s="14">
        <f>J261+J262+J263+J264+J265</f>
        <v>10865.602439999999</v>
      </c>
      <c r="K260" s="14">
        <f>K261+K263+K264+K265</f>
        <v>10648.946820000001</v>
      </c>
      <c r="L260" s="14">
        <f>L261+L263+L264+L265</f>
        <v>0</v>
      </c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54"/>
      <c r="AS260" s="55"/>
      <c r="AT260" s="55"/>
      <c r="AU260" s="55"/>
      <c r="AV260" s="55"/>
      <c r="AW260" s="55"/>
      <c r="AX260" s="55"/>
      <c r="AY260" s="55"/>
      <c r="AZ260" s="56"/>
      <c r="BA260" s="57"/>
    </row>
    <row r="261" spans="1:53" s="58" customFormat="1" ht="21.75" customHeight="1">
      <c r="A261" s="105"/>
      <c r="B261" s="108"/>
      <c r="C261" s="134"/>
      <c r="D261" s="152"/>
      <c r="E261" s="26" t="s">
        <v>55</v>
      </c>
      <c r="F261" s="13">
        <f>G261+H261+I261+J261+K261+L261</f>
        <v>20312</v>
      </c>
      <c r="G261" s="16">
        <v>0</v>
      </c>
      <c r="H261" s="16">
        <v>0</v>
      </c>
      <c r="I261" s="16"/>
      <c r="J261" s="16">
        <v>10312</v>
      </c>
      <c r="K261" s="16">
        <v>10000</v>
      </c>
      <c r="L261" s="16">
        <v>0</v>
      </c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54"/>
      <c r="AS261" s="55"/>
      <c r="AT261" s="55"/>
      <c r="AU261" s="55"/>
      <c r="AV261" s="55"/>
      <c r="AW261" s="55"/>
      <c r="AX261" s="55"/>
      <c r="AY261" s="55"/>
      <c r="AZ261" s="56"/>
      <c r="BA261" s="57"/>
    </row>
    <row r="262" spans="1:53" s="58" customFormat="1" ht="21.75" customHeight="1">
      <c r="A262" s="105"/>
      <c r="B262" s="108"/>
      <c r="C262" s="134"/>
      <c r="D262" s="152"/>
      <c r="E262" s="25" t="s">
        <v>168</v>
      </c>
      <c r="F262" s="13">
        <f>G262+H262+I262+J262+K262+L262</f>
        <v>0</v>
      </c>
      <c r="G262" s="16">
        <v>0</v>
      </c>
      <c r="H262" s="16">
        <v>0</v>
      </c>
      <c r="I262" s="16"/>
      <c r="J262" s="16">
        <v>0</v>
      </c>
      <c r="K262" s="16">
        <v>0</v>
      </c>
      <c r="L262" s="16"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54"/>
      <c r="AS262" s="55"/>
      <c r="AT262" s="55"/>
      <c r="AU262" s="55"/>
      <c r="AV262" s="55"/>
      <c r="AW262" s="55"/>
      <c r="AX262" s="55"/>
      <c r="AY262" s="55"/>
      <c r="AZ262" s="56"/>
      <c r="BA262" s="57"/>
    </row>
    <row r="263" spans="1:53" s="58" customFormat="1" ht="21.75" customHeight="1">
      <c r="A263" s="105"/>
      <c r="B263" s="108"/>
      <c r="C263" s="134"/>
      <c r="D263" s="152"/>
      <c r="E263" s="26" t="s">
        <v>56</v>
      </c>
      <c r="F263" s="13">
        <f>G263+H263+I263+J263+K263+L263</f>
        <v>1181.0347099999999</v>
      </c>
      <c r="G263" s="16">
        <v>0</v>
      </c>
      <c r="H263" s="16">
        <v>0</v>
      </c>
      <c r="I263" s="16"/>
      <c r="J263" s="16">
        <v>542.73684000000003</v>
      </c>
      <c r="K263" s="16">
        <v>638.29786999999999</v>
      </c>
      <c r="L263" s="16">
        <v>0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54"/>
      <c r="AS263" s="55"/>
      <c r="AT263" s="55"/>
      <c r="AU263" s="55"/>
      <c r="AV263" s="55"/>
      <c r="AW263" s="55"/>
      <c r="AX263" s="55"/>
      <c r="AY263" s="55"/>
      <c r="AZ263" s="56"/>
      <c r="BA263" s="57"/>
    </row>
    <row r="264" spans="1:53" s="58" customFormat="1" ht="21.75" customHeight="1">
      <c r="A264" s="105"/>
      <c r="B264" s="108"/>
      <c r="C264" s="134"/>
      <c r="D264" s="152"/>
      <c r="E264" s="26" t="s">
        <v>57</v>
      </c>
      <c r="F264" s="13">
        <f>G264+H264+I264+J264+K264+L264</f>
        <v>21.51455</v>
      </c>
      <c r="G264" s="16">
        <v>0</v>
      </c>
      <c r="H264" s="16">
        <v>0</v>
      </c>
      <c r="I264" s="16"/>
      <c r="J264" s="16">
        <v>10.865600000000001</v>
      </c>
      <c r="K264" s="16">
        <v>10.648949999999999</v>
      </c>
      <c r="L264" s="16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54"/>
      <c r="AS264" s="55"/>
      <c r="AT264" s="55"/>
      <c r="AU264" s="55"/>
      <c r="AV264" s="55"/>
      <c r="AW264" s="55"/>
      <c r="AX264" s="55"/>
      <c r="AY264" s="55"/>
      <c r="AZ264" s="56"/>
      <c r="BA264" s="57"/>
    </row>
    <row r="265" spans="1:53" s="58" customFormat="1" ht="21.75" customHeight="1">
      <c r="A265" s="105"/>
      <c r="B265" s="108"/>
      <c r="C265" s="134"/>
      <c r="D265" s="152"/>
      <c r="E265" s="160" t="s">
        <v>58</v>
      </c>
      <c r="F265" s="163">
        <f>G265+H265+I265+J265+K265</f>
        <v>0</v>
      </c>
      <c r="G265" s="165">
        <v>0</v>
      </c>
      <c r="H265" s="165">
        <v>0</v>
      </c>
      <c r="I265" s="165">
        <v>0</v>
      </c>
      <c r="J265" s="165">
        <v>0</v>
      </c>
      <c r="K265" s="165">
        <v>0</v>
      </c>
      <c r="L265" s="165"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54"/>
      <c r="AS265" s="55"/>
      <c r="AT265" s="55"/>
      <c r="AU265" s="55"/>
      <c r="AV265" s="55"/>
      <c r="AW265" s="55"/>
      <c r="AX265" s="55"/>
      <c r="AY265" s="55"/>
      <c r="AZ265" s="56"/>
      <c r="BA265" s="57"/>
    </row>
    <row r="266" spans="1:53" s="58" customFormat="1" ht="21.75" customHeight="1">
      <c r="A266" s="106"/>
      <c r="B266" s="109"/>
      <c r="C266" s="135"/>
      <c r="D266" s="153"/>
      <c r="E266" s="162"/>
      <c r="F266" s="164"/>
      <c r="G266" s="166"/>
      <c r="H266" s="166"/>
      <c r="I266" s="166"/>
      <c r="J266" s="166"/>
      <c r="K266" s="166"/>
      <c r="L266" s="166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54"/>
      <c r="AS266" s="55"/>
      <c r="AT266" s="55"/>
      <c r="AU266" s="55"/>
      <c r="AV266" s="55"/>
      <c r="AW266" s="55"/>
      <c r="AX266" s="55"/>
      <c r="AY266" s="55"/>
      <c r="AZ266" s="56"/>
      <c r="BA266" s="57"/>
    </row>
    <row r="267" spans="1:53" s="58" customFormat="1" ht="21.75" customHeight="1">
      <c r="A267" s="104" t="s">
        <v>198</v>
      </c>
      <c r="B267" s="107" t="s">
        <v>201</v>
      </c>
      <c r="C267" s="133">
        <v>2025</v>
      </c>
      <c r="D267" s="104" t="s">
        <v>148</v>
      </c>
      <c r="E267" s="26" t="s">
        <v>47</v>
      </c>
      <c r="F267" s="13">
        <f>G267+H267+I267+J267+K267+L267</f>
        <v>13107.950059999999</v>
      </c>
      <c r="G267" s="14">
        <f>G268+G270+G271+G272</f>
        <v>0</v>
      </c>
      <c r="H267" s="14">
        <f>H268+H270+H271+H272</f>
        <v>0</v>
      </c>
      <c r="I267" s="14">
        <f>I268+I270+I271+I272</f>
        <v>0</v>
      </c>
      <c r="J267" s="14">
        <f>J268+J269+J270+J271+J272</f>
        <v>13107.950059999999</v>
      </c>
      <c r="K267" s="14">
        <f>K268+K270+K271+K272</f>
        <v>0</v>
      </c>
      <c r="L267" s="14">
        <f>L268+L270+L271+L272</f>
        <v>0</v>
      </c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54"/>
      <c r="AS267" s="55"/>
      <c r="AT267" s="55"/>
      <c r="AU267" s="55"/>
      <c r="AV267" s="55"/>
      <c r="AW267" s="55"/>
      <c r="AX267" s="55"/>
      <c r="AY267" s="55"/>
      <c r="AZ267" s="56"/>
      <c r="BA267" s="57"/>
    </row>
    <row r="268" spans="1:53" s="58" customFormat="1" ht="21.75" customHeight="1">
      <c r="A268" s="105"/>
      <c r="B268" s="108"/>
      <c r="C268" s="134"/>
      <c r="D268" s="152"/>
      <c r="E268" s="26" t="s">
        <v>55</v>
      </c>
      <c r="F268" s="13">
        <f>G268+H268+I268+J268+K268+L268</f>
        <v>12440.1</v>
      </c>
      <c r="G268" s="16">
        <v>0</v>
      </c>
      <c r="H268" s="16">
        <v>0</v>
      </c>
      <c r="I268" s="16">
        <v>0</v>
      </c>
      <c r="J268" s="16">
        <v>12440.1</v>
      </c>
      <c r="K268" s="16">
        <v>0</v>
      </c>
      <c r="L268" s="16">
        <v>0</v>
      </c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54"/>
      <c r="AS268" s="55"/>
      <c r="AT268" s="55"/>
      <c r="AU268" s="55"/>
      <c r="AV268" s="55"/>
      <c r="AW268" s="55"/>
      <c r="AX268" s="55"/>
      <c r="AY268" s="55"/>
      <c r="AZ268" s="56"/>
      <c r="BA268" s="57"/>
    </row>
    <row r="269" spans="1:53" s="58" customFormat="1" ht="21.75" customHeight="1">
      <c r="A269" s="105"/>
      <c r="B269" s="108"/>
      <c r="C269" s="134"/>
      <c r="D269" s="152"/>
      <c r="E269" s="25" t="s">
        <v>168</v>
      </c>
      <c r="F269" s="13">
        <f>G269+H269+I269+J269+K269+L269</f>
        <v>0</v>
      </c>
      <c r="G269" s="16">
        <v>0</v>
      </c>
      <c r="H269" s="16">
        <v>0</v>
      </c>
      <c r="I269" s="16">
        <v>0</v>
      </c>
      <c r="J269" s="16">
        <v>0</v>
      </c>
      <c r="K269" s="16">
        <v>0</v>
      </c>
      <c r="L269" s="16">
        <v>0</v>
      </c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54"/>
      <c r="AS269" s="55"/>
      <c r="AT269" s="55"/>
      <c r="AU269" s="55"/>
      <c r="AV269" s="55"/>
      <c r="AW269" s="55"/>
      <c r="AX269" s="55"/>
      <c r="AY269" s="55"/>
      <c r="AZ269" s="56"/>
      <c r="BA269" s="57"/>
    </row>
    <row r="270" spans="1:53" s="58" customFormat="1" ht="21.75" customHeight="1">
      <c r="A270" s="105"/>
      <c r="B270" s="108"/>
      <c r="C270" s="134"/>
      <c r="D270" s="152"/>
      <c r="E270" s="26" t="s">
        <v>56</v>
      </c>
      <c r="F270" s="13">
        <f>G270+H270+I270+J270+K270+L270</f>
        <v>654.74211000000003</v>
      </c>
      <c r="G270" s="16">
        <v>0</v>
      </c>
      <c r="H270" s="16">
        <v>0</v>
      </c>
      <c r="I270" s="16"/>
      <c r="J270" s="16">
        <v>654.74211000000003</v>
      </c>
      <c r="K270" s="16">
        <v>0</v>
      </c>
      <c r="L270" s="16">
        <v>0</v>
      </c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54"/>
      <c r="AS270" s="55"/>
      <c r="AT270" s="55"/>
      <c r="AU270" s="55"/>
      <c r="AV270" s="55"/>
      <c r="AW270" s="55"/>
      <c r="AX270" s="55"/>
      <c r="AY270" s="55"/>
      <c r="AZ270" s="56"/>
      <c r="BA270" s="57"/>
    </row>
    <row r="271" spans="1:53" s="58" customFormat="1" ht="21.75" customHeight="1">
      <c r="A271" s="105"/>
      <c r="B271" s="108"/>
      <c r="C271" s="134"/>
      <c r="D271" s="152"/>
      <c r="E271" s="26" t="s">
        <v>57</v>
      </c>
      <c r="F271" s="13">
        <f>G271+H271+I271+J271+K271+L271</f>
        <v>13.107950000000001</v>
      </c>
      <c r="G271" s="16">
        <v>0</v>
      </c>
      <c r="H271" s="16">
        <v>0</v>
      </c>
      <c r="I271" s="16"/>
      <c r="J271" s="16">
        <v>13.107950000000001</v>
      </c>
      <c r="K271" s="16">
        <v>0</v>
      </c>
      <c r="L271" s="16">
        <v>0</v>
      </c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54"/>
      <c r="AS271" s="55"/>
      <c r="AT271" s="55"/>
      <c r="AU271" s="55"/>
      <c r="AV271" s="55"/>
      <c r="AW271" s="55"/>
      <c r="AX271" s="55"/>
      <c r="AY271" s="55"/>
      <c r="AZ271" s="56"/>
      <c r="BA271" s="57"/>
    </row>
    <row r="272" spans="1:53" s="58" customFormat="1" ht="21.75" customHeight="1">
      <c r="A272" s="105"/>
      <c r="B272" s="108"/>
      <c r="C272" s="134"/>
      <c r="D272" s="152"/>
      <c r="E272" s="160" t="s">
        <v>58</v>
      </c>
      <c r="F272" s="163">
        <f>G272+H272+I272+J272+K272</f>
        <v>0</v>
      </c>
      <c r="G272" s="165">
        <v>0</v>
      </c>
      <c r="H272" s="165">
        <v>0</v>
      </c>
      <c r="I272" s="165">
        <v>0</v>
      </c>
      <c r="J272" s="165">
        <v>0</v>
      </c>
      <c r="K272" s="165">
        <v>0</v>
      </c>
      <c r="L272" s="165">
        <v>0</v>
      </c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54"/>
      <c r="AS272" s="55"/>
      <c r="AT272" s="55"/>
      <c r="AU272" s="55"/>
      <c r="AV272" s="55"/>
      <c r="AW272" s="55"/>
      <c r="AX272" s="55"/>
      <c r="AY272" s="55"/>
      <c r="AZ272" s="56"/>
      <c r="BA272" s="57"/>
    </row>
    <row r="273" spans="1:53" s="58" customFormat="1" ht="21.75" customHeight="1">
      <c r="A273" s="106"/>
      <c r="B273" s="109"/>
      <c r="C273" s="135"/>
      <c r="D273" s="153"/>
      <c r="E273" s="162"/>
      <c r="F273" s="164"/>
      <c r="G273" s="166"/>
      <c r="H273" s="166"/>
      <c r="I273" s="166"/>
      <c r="J273" s="166"/>
      <c r="K273" s="166"/>
      <c r="L273" s="166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54"/>
      <c r="AS273" s="55"/>
      <c r="AT273" s="55"/>
      <c r="AU273" s="55"/>
      <c r="AV273" s="55"/>
      <c r="AW273" s="55"/>
      <c r="AX273" s="55"/>
      <c r="AY273" s="55"/>
      <c r="AZ273" s="56"/>
      <c r="BA273" s="57"/>
    </row>
    <row r="274" spans="1:53" s="42" customFormat="1" ht="21.75" customHeight="1">
      <c r="A274" s="125"/>
      <c r="B274" s="156" t="s">
        <v>72</v>
      </c>
      <c r="C274" s="110" t="s">
        <v>181</v>
      </c>
      <c r="D274" s="136"/>
      <c r="E274" s="25" t="s">
        <v>47</v>
      </c>
      <c r="F274" s="23">
        <f t="shared" ref="F274:J275" si="83">F11+F65+F77+F119+F191</f>
        <v>1381583.00401</v>
      </c>
      <c r="G274" s="23">
        <f t="shared" si="83"/>
        <v>233788.01252999998</v>
      </c>
      <c r="H274" s="23">
        <f t="shared" si="83"/>
        <v>207030.61450999998</v>
      </c>
      <c r="I274" s="23">
        <f t="shared" si="83"/>
        <v>235052.58478</v>
      </c>
      <c r="J274" s="23">
        <f t="shared" si="83"/>
        <v>243204.32019</v>
      </c>
      <c r="K274" s="70">
        <f>K11+K65+K77+K119+K191+K107+K179</f>
        <v>231341.28719999996</v>
      </c>
      <c r="L274" s="70">
        <f>L11+L65+L77+L119+L191</f>
        <v>231166.18479999999</v>
      </c>
      <c r="M274" s="33">
        <v>2025</v>
      </c>
      <c r="N274" s="96"/>
      <c r="O274" s="96">
        <f>J274-J191+160.856</f>
        <v>216480.76769000001</v>
      </c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59"/>
      <c r="AN274" s="59"/>
      <c r="AO274" s="59"/>
      <c r="AP274" s="59"/>
      <c r="AQ274" s="59"/>
      <c r="AR274" s="39"/>
      <c r="AS274" s="39"/>
      <c r="AT274" s="39"/>
      <c r="AU274" s="39"/>
      <c r="AV274" s="39"/>
      <c r="AW274" s="39"/>
      <c r="AX274" s="39"/>
      <c r="AY274" s="39"/>
      <c r="AZ274" s="39"/>
    </row>
    <row r="275" spans="1:53" s="42" customFormat="1" ht="21.75" customHeight="1">
      <c r="A275" s="126"/>
      <c r="B275" s="157"/>
      <c r="C275" s="111"/>
      <c r="D275" s="136"/>
      <c r="E275" s="25" t="s">
        <v>55</v>
      </c>
      <c r="F275" s="23">
        <f t="shared" si="83"/>
        <v>41421.164919999996</v>
      </c>
      <c r="G275" s="23">
        <f t="shared" si="83"/>
        <v>356.34931</v>
      </c>
      <c r="H275" s="23">
        <f t="shared" si="83"/>
        <v>6245.4033200000003</v>
      </c>
      <c r="I275" s="23">
        <f t="shared" si="83"/>
        <v>1150.05024</v>
      </c>
      <c r="J275" s="23">
        <f t="shared" si="83"/>
        <v>23058.172439999998</v>
      </c>
      <c r="K275" s="70">
        <f>K12+K66+K78+K120+K192</f>
        <v>10300.0211</v>
      </c>
      <c r="L275" s="70">
        <f>L12+L66+L78+L120+L192</f>
        <v>311.16851000000003</v>
      </c>
      <c r="M275" s="33">
        <v>2026</v>
      </c>
      <c r="N275" s="96">
        <f>K274-K191</f>
        <v>220692.34037999995</v>
      </c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59"/>
      <c r="AN275" s="59"/>
      <c r="AO275" s="59"/>
      <c r="AP275" s="59"/>
      <c r="AQ275" s="59"/>
      <c r="AR275" s="39"/>
      <c r="AS275" s="39"/>
      <c r="AT275" s="39"/>
      <c r="AU275" s="39"/>
      <c r="AV275" s="39"/>
      <c r="AW275" s="39"/>
      <c r="AX275" s="39"/>
      <c r="AY275" s="39"/>
      <c r="AZ275" s="39"/>
    </row>
    <row r="276" spans="1:53" s="42" customFormat="1" ht="27" customHeight="1">
      <c r="A276" s="126"/>
      <c r="B276" s="157"/>
      <c r="C276" s="111"/>
      <c r="D276" s="136"/>
      <c r="E276" s="25" t="s">
        <v>168</v>
      </c>
      <c r="F276" s="23">
        <f t="shared" ref="F276:H279" si="84">F13+F67+F79+F121+F193</f>
        <v>10565.45397</v>
      </c>
      <c r="G276" s="70">
        <f t="shared" si="84"/>
        <v>0</v>
      </c>
      <c r="H276" s="70">
        <f t="shared" si="84"/>
        <v>0</v>
      </c>
      <c r="I276" s="70">
        <f>I13+I73+I79+I121+I193</f>
        <v>10565.45397</v>
      </c>
      <c r="J276" s="23">
        <f>J13+J67+J79+J121+J193</f>
        <v>0</v>
      </c>
      <c r="K276" s="70">
        <f>K13+K67+K79+K121+K193</f>
        <v>0</v>
      </c>
      <c r="L276" s="70">
        <f>L13+L67+L79+L121+L193</f>
        <v>0</v>
      </c>
      <c r="M276" s="33">
        <v>2027</v>
      </c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59"/>
      <c r="AN276" s="59"/>
      <c r="AO276" s="59"/>
      <c r="AP276" s="59"/>
      <c r="AQ276" s="59"/>
      <c r="AR276" s="39"/>
      <c r="AS276" s="39"/>
      <c r="AT276" s="39"/>
      <c r="AU276" s="39"/>
      <c r="AV276" s="39"/>
      <c r="AW276" s="39"/>
      <c r="AX276" s="39"/>
      <c r="AY276" s="39"/>
      <c r="AZ276" s="39"/>
    </row>
    <row r="277" spans="1:53" s="42" customFormat="1" ht="21.75" customHeight="1">
      <c r="A277" s="126"/>
      <c r="B277" s="157"/>
      <c r="C277" s="111"/>
      <c r="D277" s="136"/>
      <c r="E277" s="25" t="s">
        <v>56</v>
      </c>
      <c r="F277" s="23">
        <f t="shared" si="84"/>
        <v>30563.257270000002</v>
      </c>
      <c r="G277" s="23">
        <f t="shared" si="84"/>
        <v>13484.10122</v>
      </c>
      <c r="H277" s="23">
        <f t="shared" si="84"/>
        <v>856.86382000000003</v>
      </c>
      <c r="I277" s="23">
        <f>I14+I74+I80+I122+I194</f>
        <v>14003.834760000002</v>
      </c>
      <c r="J277" s="23">
        <f>J14+J68+J80+J122+J194</f>
        <v>1321.5880300000001</v>
      </c>
      <c r="K277" s="70">
        <f>K14+K68+K80+K122+K194</f>
        <v>765.44814999999994</v>
      </c>
      <c r="L277" s="70">
        <f>L14+L68+L80+L122+L194</f>
        <v>131.42129</v>
      </c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59"/>
      <c r="AN277" s="59"/>
      <c r="AO277" s="59"/>
      <c r="AP277" s="59"/>
      <c r="AQ277" s="59"/>
      <c r="AR277" s="39"/>
      <c r="AS277" s="39"/>
      <c r="AT277" s="39"/>
      <c r="AU277" s="39"/>
      <c r="AV277" s="39"/>
      <c r="AW277" s="39"/>
      <c r="AX277" s="39"/>
      <c r="AY277" s="39"/>
      <c r="AZ277" s="39"/>
    </row>
    <row r="278" spans="1:53" s="42" customFormat="1" ht="21.75" customHeight="1">
      <c r="A278" s="126"/>
      <c r="B278" s="157"/>
      <c r="C278" s="111"/>
      <c r="D278" s="136"/>
      <c r="E278" s="25" t="s">
        <v>57</v>
      </c>
      <c r="F278" s="23">
        <f t="shared" si="84"/>
        <v>1299033.12785</v>
      </c>
      <c r="G278" s="23">
        <f t="shared" si="84"/>
        <v>219947.56200000001</v>
      </c>
      <c r="H278" s="23">
        <f t="shared" si="84"/>
        <v>199928.34736999997</v>
      </c>
      <c r="I278" s="23">
        <f>I15+I69+I81+I123+I195</f>
        <v>209333.24581000002</v>
      </c>
      <c r="J278" s="23">
        <f>J15+J69+J81+J123+J195</f>
        <v>218824.55971999999</v>
      </c>
      <c r="K278" s="70">
        <f>K15+K69+K81+K123+K195+K111+K183</f>
        <v>220275.81794999997</v>
      </c>
      <c r="L278" s="70">
        <f>L15+L69+L81+L123+L195+L111+L183</f>
        <v>230723.595</v>
      </c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59"/>
      <c r="AN278" s="59"/>
      <c r="AO278" s="59"/>
      <c r="AP278" s="59"/>
      <c r="AQ278" s="59"/>
      <c r="AR278" s="39"/>
      <c r="AS278" s="39"/>
      <c r="AT278" s="39"/>
      <c r="AU278" s="39"/>
      <c r="AV278" s="39"/>
      <c r="AW278" s="39"/>
      <c r="AX278" s="39"/>
      <c r="AY278" s="39"/>
      <c r="AZ278" s="39"/>
    </row>
    <row r="279" spans="1:53" s="58" customFormat="1" ht="21.75" customHeight="1">
      <c r="A279" s="132"/>
      <c r="B279" s="158"/>
      <c r="C279" s="112"/>
      <c r="D279" s="137"/>
      <c r="E279" s="25" t="s">
        <v>58</v>
      </c>
      <c r="F279" s="13">
        <f t="shared" si="84"/>
        <v>0</v>
      </c>
      <c r="G279" s="23">
        <f t="shared" si="84"/>
        <v>0</v>
      </c>
      <c r="H279" s="23">
        <f t="shared" si="84"/>
        <v>0</v>
      </c>
      <c r="I279" s="23">
        <f>I16+I70+I82+I124+I196</f>
        <v>0</v>
      </c>
      <c r="J279" s="23">
        <f>J16+J70+J82+J124+J196</f>
        <v>0</v>
      </c>
      <c r="K279" s="70">
        <f>K16+K70+K82+K124+K196</f>
        <v>0</v>
      </c>
      <c r="L279" s="70">
        <f>L16+L70+L82+L124+L196</f>
        <v>0</v>
      </c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60"/>
      <c r="AN279" s="60"/>
      <c r="AO279" s="60"/>
      <c r="AP279" s="60"/>
      <c r="AQ279" s="60"/>
      <c r="AR279" s="55"/>
      <c r="AS279" s="55"/>
      <c r="AT279" s="55"/>
      <c r="AU279" s="55"/>
      <c r="AV279" s="55"/>
      <c r="AW279" s="55"/>
      <c r="AX279" s="55"/>
      <c r="AY279" s="55"/>
      <c r="AZ279" s="55"/>
    </row>
    <row r="280" spans="1:53" s="31" customFormat="1" ht="21.75" customHeight="1">
      <c r="A280" s="92"/>
      <c r="B280" s="93"/>
      <c r="C280" s="94"/>
      <c r="D280" s="95"/>
      <c r="E280" s="94"/>
      <c r="F280" s="93"/>
      <c r="G280" s="93"/>
      <c r="H280" s="93"/>
      <c r="I280" s="93"/>
      <c r="J280" s="93"/>
      <c r="K280" s="93"/>
      <c r="L280" s="9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</row>
    <row r="281" spans="1:53" s="80" customFormat="1" ht="12" customHeight="1">
      <c r="B281" s="81" t="s">
        <v>140</v>
      </c>
      <c r="C281" s="82"/>
      <c r="D281" s="88"/>
      <c r="E281" s="88"/>
      <c r="F281" s="88"/>
      <c r="G281" s="88"/>
      <c r="H281" s="88"/>
      <c r="I281" s="89"/>
      <c r="J281" s="90"/>
      <c r="K281" s="90"/>
      <c r="L281" s="83"/>
      <c r="M281" s="83"/>
      <c r="N281" s="83"/>
      <c r="O281" s="83"/>
      <c r="P281" s="83"/>
      <c r="Q281" s="83"/>
      <c r="R281" s="83"/>
    </row>
    <row r="282" spans="1:53" s="80" customFormat="1" ht="14.25" customHeight="1">
      <c r="B282" s="84"/>
      <c r="C282" s="84"/>
      <c r="D282" s="91"/>
      <c r="E282" s="91"/>
      <c r="F282" s="91"/>
      <c r="G282" s="91"/>
      <c r="H282" s="91"/>
      <c r="J282" s="83"/>
      <c r="K282" s="89"/>
      <c r="L282" s="85"/>
      <c r="M282" s="83"/>
      <c r="N282" s="83"/>
      <c r="O282" s="83"/>
      <c r="P282" s="83"/>
      <c r="Q282" s="83"/>
      <c r="R282" s="83"/>
    </row>
    <row r="283" spans="1:53" s="77" customFormat="1" ht="12.75">
      <c r="B283" s="78"/>
      <c r="C283" s="78"/>
      <c r="D283" s="78"/>
      <c r="E283" s="78"/>
      <c r="F283" s="78"/>
      <c r="G283" s="78"/>
      <c r="H283" s="78"/>
      <c r="J283" s="86"/>
      <c r="K283" s="79"/>
      <c r="L283" s="79"/>
      <c r="M283" s="79"/>
      <c r="N283" s="79"/>
      <c r="O283" s="79"/>
      <c r="P283" s="79"/>
      <c r="Q283" s="79"/>
      <c r="R283" s="79"/>
    </row>
    <row r="284" spans="1:53" s="77" customFormat="1" ht="12.75">
      <c r="B284" s="78"/>
      <c r="C284" s="78"/>
      <c r="D284" s="78"/>
      <c r="E284" s="78"/>
      <c r="F284" s="78"/>
      <c r="G284" s="78"/>
      <c r="H284" s="78"/>
      <c r="I284" s="87"/>
      <c r="J284" s="87"/>
      <c r="K284" s="87"/>
      <c r="L284" s="79"/>
      <c r="M284" s="79"/>
      <c r="N284" s="79"/>
      <c r="O284" s="79"/>
      <c r="P284" s="79"/>
      <c r="Q284" s="79"/>
      <c r="R284" s="79"/>
    </row>
    <row r="285" spans="1:53" s="33" customFormat="1" ht="21.75" customHeight="1">
      <c r="F285" s="37"/>
      <c r="H285" s="61"/>
      <c r="I285" s="61"/>
      <c r="J285" s="61"/>
      <c r="K285" s="68"/>
      <c r="L285" s="68"/>
    </row>
    <row r="286" spans="1:53" s="33" customFormat="1" ht="21.75" customHeight="1">
      <c r="F286" s="37"/>
      <c r="H286" s="61"/>
      <c r="I286" s="61"/>
      <c r="J286" s="61"/>
      <c r="K286" s="68"/>
      <c r="L286" s="68"/>
    </row>
    <row r="287" spans="1:53" s="33" customFormat="1" ht="21.75" customHeight="1">
      <c r="F287" s="37"/>
      <c r="H287" s="61"/>
      <c r="I287" s="61"/>
      <c r="J287" s="61"/>
      <c r="K287" s="68"/>
      <c r="L287" s="68"/>
    </row>
    <row r="288" spans="1:53" s="33" customFormat="1" ht="21.75" customHeight="1">
      <c r="F288" s="37"/>
      <c r="H288" s="61"/>
      <c r="I288" s="61"/>
      <c r="J288" s="61"/>
      <c r="K288" s="68"/>
      <c r="L288" s="68"/>
    </row>
    <row r="289" spans="1:52" s="33" customFormat="1" ht="21.75" customHeight="1">
      <c r="F289" s="37"/>
      <c r="H289" s="61"/>
      <c r="I289" s="61"/>
      <c r="J289" s="61"/>
      <c r="K289" s="68"/>
      <c r="L289" s="68"/>
    </row>
    <row r="290" spans="1:52" s="33" customFormat="1" ht="21.75" customHeight="1">
      <c r="F290" s="37"/>
      <c r="H290" s="61"/>
      <c r="I290" s="61"/>
      <c r="J290" s="61"/>
      <c r="K290" s="68"/>
      <c r="L290" s="68"/>
    </row>
    <row r="291" spans="1:52" s="33" customFormat="1" ht="21.75" customHeight="1">
      <c r="F291" s="37"/>
      <c r="H291" s="61"/>
      <c r="I291" s="61"/>
      <c r="J291" s="61"/>
      <c r="K291" s="68"/>
      <c r="L291" s="68"/>
    </row>
    <row r="292" spans="1:52" s="33" customFormat="1" ht="21.75" customHeight="1">
      <c r="F292" s="37"/>
      <c r="H292" s="61"/>
      <c r="I292" s="61"/>
      <c r="J292" s="61"/>
      <c r="K292" s="68"/>
      <c r="L292" s="68"/>
    </row>
    <row r="293" spans="1:52" s="33" customFormat="1" ht="21.75" customHeight="1">
      <c r="F293" s="37"/>
      <c r="H293" s="61"/>
      <c r="I293" s="61"/>
      <c r="J293" s="61"/>
      <c r="K293" s="68"/>
      <c r="L293" s="68"/>
    </row>
    <row r="294" spans="1:52" s="33" customFormat="1" ht="21.75" customHeight="1">
      <c r="F294" s="37"/>
      <c r="H294" s="61"/>
      <c r="I294" s="61"/>
      <c r="J294" s="61"/>
      <c r="K294" s="68"/>
      <c r="L294" s="68"/>
    </row>
    <row r="295" spans="1:52" s="33" customFormat="1" ht="21.75" customHeight="1">
      <c r="F295" s="37"/>
      <c r="H295" s="61"/>
      <c r="I295" s="61"/>
      <c r="J295" s="61"/>
      <c r="K295" s="68"/>
      <c r="L295" s="68"/>
    </row>
    <row r="296" spans="1:52" s="33" customFormat="1" ht="21.75" customHeight="1">
      <c r="F296" s="37"/>
      <c r="H296" s="61"/>
      <c r="I296" s="61"/>
      <c r="J296" s="61"/>
      <c r="K296" s="68"/>
      <c r="L296" s="68"/>
    </row>
    <row r="297" spans="1:52" s="33" customFormat="1" ht="21.75" customHeight="1">
      <c r="F297" s="37"/>
      <c r="H297" s="61"/>
      <c r="I297" s="61"/>
      <c r="J297" s="61"/>
      <c r="K297" s="68"/>
      <c r="L297" s="68"/>
    </row>
    <row r="298" spans="1:52" s="33" customFormat="1" ht="21.75" customHeight="1">
      <c r="F298" s="37"/>
      <c r="H298" s="61"/>
      <c r="I298" s="61"/>
      <c r="J298" s="61"/>
      <c r="K298" s="68"/>
      <c r="L298" s="68"/>
    </row>
    <row r="299" spans="1:52" s="33" customFormat="1" ht="21.75" customHeight="1">
      <c r="F299" s="37"/>
      <c r="H299" s="61"/>
      <c r="I299" s="61"/>
      <c r="J299" s="61"/>
      <c r="K299" s="68"/>
      <c r="L299" s="68"/>
    </row>
    <row r="300" spans="1:52" s="33" customFormat="1" ht="21.75" customHeight="1">
      <c r="F300" s="37"/>
      <c r="H300" s="61"/>
      <c r="I300" s="61"/>
      <c r="J300" s="61"/>
      <c r="K300" s="68"/>
      <c r="L300" s="68"/>
    </row>
    <row r="301" spans="1:52" s="63" customFormat="1" ht="21.75" customHeight="1">
      <c r="A301" s="62"/>
      <c r="F301" s="64"/>
      <c r="H301" s="61"/>
      <c r="I301" s="61"/>
      <c r="J301" s="61"/>
      <c r="K301" s="68"/>
      <c r="L301" s="68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</row>
    <row r="302" spans="1:52" s="63" customFormat="1" ht="21.75" customHeight="1">
      <c r="A302" s="62"/>
      <c r="F302" s="64"/>
      <c r="H302" s="61"/>
      <c r="I302" s="61"/>
      <c r="J302" s="61"/>
      <c r="K302" s="68"/>
      <c r="L302" s="68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</row>
    <row r="303" spans="1:52" s="63" customFormat="1" ht="21.75" customHeight="1">
      <c r="A303" s="62"/>
      <c r="F303" s="64"/>
      <c r="H303" s="61"/>
      <c r="I303" s="61"/>
      <c r="J303" s="61"/>
      <c r="K303" s="68"/>
      <c r="L303" s="68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</row>
    <row r="304" spans="1:52" s="63" customFormat="1" ht="21.75" customHeight="1">
      <c r="A304" s="62"/>
      <c r="F304" s="64"/>
      <c r="H304" s="61"/>
      <c r="I304" s="61"/>
      <c r="J304" s="61"/>
      <c r="K304" s="68"/>
      <c r="L304" s="68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</row>
    <row r="305" spans="1:52" s="63" customFormat="1" ht="21.75" customHeight="1">
      <c r="A305" s="62"/>
      <c r="F305" s="64"/>
      <c r="H305" s="61"/>
      <c r="I305" s="61"/>
      <c r="J305" s="61"/>
      <c r="K305" s="68"/>
      <c r="L305" s="68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</row>
    <row r="306" spans="1:52" s="63" customFormat="1" ht="21.75" customHeight="1">
      <c r="A306" s="62"/>
      <c r="F306" s="64"/>
      <c r="H306" s="61"/>
      <c r="I306" s="61"/>
      <c r="J306" s="61"/>
      <c r="K306" s="68"/>
      <c r="L306" s="68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</row>
    <row r="307" spans="1:52" s="63" customFormat="1" ht="21.75" customHeight="1">
      <c r="A307" s="62"/>
      <c r="F307" s="64"/>
      <c r="H307" s="61"/>
      <c r="I307" s="61"/>
      <c r="J307" s="61"/>
      <c r="K307" s="68"/>
      <c r="L307" s="68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</row>
  </sheetData>
  <autoFilter ref="A8:I279"/>
  <mergeCells count="231">
    <mergeCell ref="J265:J266"/>
    <mergeCell ref="K265:K266"/>
    <mergeCell ref="L265:L266"/>
    <mergeCell ref="A267:A273"/>
    <mergeCell ref="B267:B273"/>
    <mergeCell ref="C267:C273"/>
    <mergeCell ref="D267:D273"/>
    <mergeCell ref="E272:E273"/>
    <mergeCell ref="F272:F273"/>
    <mergeCell ref="G272:G273"/>
    <mergeCell ref="H272:H273"/>
    <mergeCell ref="I272:I273"/>
    <mergeCell ref="J272:J273"/>
    <mergeCell ref="K272:K273"/>
    <mergeCell ref="L272:L273"/>
    <mergeCell ref="A260:A266"/>
    <mergeCell ref="B260:B266"/>
    <mergeCell ref="C260:C266"/>
    <mergeCell ref="D260:D266"/>
    <mergeCell ref="E265:E266"/>
    <mergeCell ref="F265:F266"/>
    <mergeCell ref="G265:G266"/>
    <mergeCell ref="H265:H266"/>
    <mergeCell ref="I265:I266"/>
    <mergeCell ref="D149:D154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74:D279"/>
    <mergeCell ref="D191:D196"/>
    <mergeCell ref="D197:D202"/>
    <mergeCell ref="D215:D220"/>
    <mergeCell ref="D221:D226"/>
    <mergeCell ref="D203:D208"/>
    <mergeCell ref="A274:A279"/>
    <mergeCell ref="C274:C279"/>
    <mergeCell ref="B274:B279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79:A184"/>
    <mergeCell ref="B179:B184"/>
    <mergeCell ref="C179:C184"/>
    <mergeCell ref="C143:C148"/>
    <mergeCell ref="B143:B148"/>
    <mergeCell ref="B149:B154"/>
    <mergeCell ref="C149:C154"/>
    <mergeCell ref="A149:A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2" max="11" man="1"/>
    <brk id="136" max="11" man="1"/>
    <brk id="172" max="11" man="1"/>
    <brk id="196" max="11" man="1"/>
    <brk id="220" max="11" man="1"/>
    <brk id="25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2025-01-28T11:10:59Z</dcterms:modified>
</cp:coreProperties>
</file>